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User\Desktop\DỰ TOÁN 2026 TRÌNH HĐND XÃ\Dự toán 2026\"/>
    </mc:Choice>
  </mc:AlternateContent>
  <xr:revisionPtr revIDLastSave="0" documentId="8_{D3BF0770-E06E-447B-BE03-906A4D5C2C43}" xr6:coauthVersionLast="47" xr6:coauthVersionMax="47" xr10:uidLastSave="{00000000-0000-0000-0000-000000000000}"/>
  <bookViews>
    <workbookView xWindow="-108" yWindow="-108" windowWidth="23256" windowHeight="12456" activeTab="2" xr2:uid="{00000000-000D-0000-FFFF-FFFF00000000}"/>
  </bookViews>
  <sheets>
    <sheet name="Nợ phải thu" sheetId="20" r:id="rId1"/>
    <sheet name="02 - NO TX " sheetId="16" r:id="rId2"/>
    <sheet name="Nợ XDCB thị trấn" sheetId="17" r:id="rId3"/>
    <sheet name="Nợ XDCB Thạch Long" sheetId="19" r:id="rId4"/>
    <sheet name="Nợ XDCB Thạch Sơn" sheetId="1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0" i="19" l="1"/>
  <c r="E41" i="19"/>
  <c r="E42" i="19"/>
  <c r="E43" i="19"/>
  <c r="E44" i="19"/>
  <c r="E45" i="19"/>
  <c r="E46" i="19"/>
  <c r="E47" i="19"/>
  <c r="E48" i="19"/>
  <c r="E49" i="19"/>
  <c r="E50" i="19"/>
  <c r="C55" i="18"/>
  <c r="C21" i="16" l="1"/>
  <c r="C15" i="16" s="1"/>
  <c r="C14" i="16"/>
  <c r="C7" i="16" s="1"/>
  <c r="F13" i="19" l="1"/>
  <c r="D38" i="19"/>
  <c r="H38" i="19"/>
  <c r="I38" i="19"/>
  <c r="J37" i="19"/>
  <c r="I37" i="19"/>
  <c r="H37" i="19"/>
  <c r="D37" i="19"/>
  <c r="D36" i="19"/>
  <c r="H36" i="19"/>
  <c r="H35" i="19"/>
  <c r="D35" i="19"/>
  <c r="D34" i="19"/>
  <c r="J34" i="19"/>
  <c r="H34" i="19"/>
  <c r="H33" i="19"/>
  <c r="D33" i="19"/>
  <c r="D32" i="19"/>
  <c r="H32" i="19"/>
  <c r="D31" i="19"/>
  <c r="H31" i="19"/>
  <c r="J31" i="19"/>
  <c r="C30" i="19"/>
  <c r="D30" i="19"/>
  <c r="H30" i="19"/>
  <c r="J30" i="19"/>
  <c r="D29" i="19"/>
  <c r="H29" i="19"/>
  <c r="G27" i="19"/>
  <c r="F27" i="19"/>
  <c r="D27" i="19"/>
  <c r="D26" i="19"/>
  <c r="G26" i="19"/>
  <c r="D25" i="19"/>
  <c r="G25" i="19"/>
  <c r="J25" i="19"/>
  <c r="I24" i="19"/>
  <c r="H24" i="19"/>
  <c r="G24" i="19"/>
  <c r="D24" i="19"/>
  <c r="C23" i="19"/>
  <c r="D23" i="19"/>
  <c r="G23" i="19"/>
  <c r="H23" i="19"/>
  <c r="D22" i="19"/>
  <c r="G22" i="19"/>
  <c r="H22" i="19"/>
  <c r="D21" i="19"/>
  <c r="G21" i="19"/>
  <c r="H21" i="19"/>
  <c r="I21" i="19"/>
  <c r="G20" i="19"/>
  <c r="D20" i="19"/>
  <c r="H20" i="19"/>
  <c r="J20" i="19"/>
  <c r="D18" i="19"/>
  <c r="F18" i="19"/>
  <c r="G18" i="19"/>
  <c r="D17" i="19"/>
  <c r="F17" i="19"/>
  <c r="G17" i="19"/>
  <c r="D16" i="19"/>
  <c r="F16" i="19"/>
  <c r="G16" i="19"/>
  <c r="D15" i="19"/>
  <c r="F15" i="19"/>
  <c r="F12" i="19"/>
  <c r="G12" i="19"/>
  <c r="J45" i="19"/>
  <c r="I45" i="19"/>
  <c r="D45" i="19"/>
  <c r="D44" i="19"/>
  <c r="J44" i="19"/>
  <c r="I44" i="19"/>
  <c r="D43" i="19"/>
  <c r="J43" i="19"/>
  <c r="I43" i="19"/>
  <c r="D41" i="19"/>
  <c r="D40" i="19"/>
  <c r="D42" i="19"/>
  <c r="J42" i="19"/>
  <c r="I42" i="19"/>
  <c r="I41" i="19"/>
  <c r="J41" i="19"/>
  <c r="J40" i="19"/>
  <c r="I40" i="19"/>
  <c r="I46" i="19"/>
  <c r="D47" i="19"/>
  <c r="J47" i="19"/>
  <c r="D49" i="19"/>
  <c r="D48" i="19"/>
  <c r="I48" i="19"/>
  <c r="J49" i="19"/>
  <c r="I49" i="19"/>
  <c r="I50" i="19"/>
  <c r="J50" i="19"/>
  <c r="D50" i="19"/>
  <c r="C50" i="19"/>
  <c r="C49" i="19"/>
  <c r="C48" i="19"/>
  <c r="C47" i="19"/>
  <c r="C46" i="19"/>
  <c r="D46" i="19" s="1"/>
  <c r="C45" i="19"/>
  <c r="C44" i="19"/>
  <c r="C43" i="19"/>
  <c r="C42" i="19"/>
  <c r="C41" i="19"/>
  <c r="C40" i="19"/>
  <c r="C38" i="19"/>
  <c r="C37" i="19"/>
  <c r="C36" i="19"/>
  <c r="C35" i="19"/>
  <c r="C34" i="19"/>
  <c r="C33" i="19"/>
  <c r="C32" i="19"/>
  <c r="C31" i="19"/>
  <c r="C29" i="19"/>
  <c r="C27" i="19"/>
  <c r="C26" i="19"/>
  <c r="C25" i="19"/>
  <c r="C24" i="19"/>
  <c r="C22" i="19"/>
  <c r="C21" i="19"/>
  <c r="C20" i="19"/>
  <c r="C18" i="19"/>
  <c r="C17" i="19"/>
  <c r="C16" i="19"/>
  <c r="C15" i="19"/>
  <c r="F11" i="19"/>
  <c r="E11" i="19" s="1"/>
  <c r="G10" i="19"/>
  <c r="F10" i="19"/>
  <c r="D13" i="19"/>
  <c r="D12" i="19"/>
  <c r="D11" i="19"/>
  <c r="D10" i="19"/>
  <c r="C13" i="19"/>
  <c r="C12" i="19"/>
  <c r="C11" i="19"/>
  <c r="C10" i="19"/>
  <c r="E10" i="19" l="1"/>
  <c r="C19" i="19"/>
  <c r="C9" i="19"/>
  <c r="D28" i="19"/>
  <c r="D14" i="19"/>
  <c r="C39" i="19"/>
  <c r="C28" i="19"/>
  <c r="C14" i="19"/>
  <c r="D9" i="19"/>
  <c r="D19" i="19"/>
  <c r="D39" i="19"/>
  <c r="C51" i="19" l="1"/>
  <c r="D51" i="19"/>
  <c r="D58" i="20" l="1"/>
  <c r="D53" i="20"/>
  <c r="D49" i="20"/>
  <c r="D45" i="20"/>
  <c r="D38" i="20"/>
  <c r="D23" i="20"/>
  <c r="D22" i="20" s="1"/>
  <c r="D9" i="20"/>
  <c r="D8" i="20" l="1"/>
  <c r="C24" i="16" l="1"/>
  <c r="C31" i="16" s="1"/>
  <c r="D83" i="17" l="1"/>
  <c r="D81" i="17"/>
  <c r="D79" i="17"/>
  <c r="D77" i="17"/>
  <c r="D75" i="17"/>
  <c r="D73" i="17"/>
  <c r="D71" i="17"/>
  <c r="D69" i="17"/>
  <c r="D66" i="17"/>
  <c r="D65" i="17"/>
  <c r="D63" i="17"/>
  <c r="D61" i="17"/>
  <c r="D59" i="17"/>
  <c r="D58" i="17"/>
  <c r="D56" i="17"/>
  <c r="D55" i="17"/>
  <c r="D53" i="17"/>
  <c r="D52" i="17"/>
  <c r="D50" i="17"/>
  <c r="D49" i="17"/>
  <c r="D47" i="17"/>
  <c r="D45" i="17"/>
  <c r="D43" i="17"/>
  <c r="D42" i="17"/>
  <c r="D40" i="17"/>
  <c r="D38" i="17"/>
  <c r="D37" i="17"/>
  <c r="D35" i="17"/>
  <c r="D34" i="17"/>
  <c r="D32" i="17"/>
  <c r="D30" i="17"/>
  <c r="D28" i="17"/>
  <c r="D26" i="17"/>
  <c r="D24" i="17"/>
  <c r="D23" i="17"/>
  <c r="D22" i="17"/>
  <c r="D21" i="17"/>
  <c r="D20" i="17"/>
  <c r="D19" i="17"/>
  <c r="D18" i="17"/>
  <c r="D17" i="17"/>
  <c r="D16" i="17"/>
  <c r="D15" i="17"/>
  <c r="D14" i="17"/>
  <c r="D13" i="17"/>
  <c r="D12" i="17"/>
  <c r="D11" i="17"/>
  <c r="D10" i="17"/>
  <c r="J39" i="19"/>
  <c r="I39" i="19"/>
  <c r="H39" i="19"/>
  <c r="G39" i="19"/>
  <c r="F39" i="19"/>
  <c r="E38" i="19"/>
  <c r="E37" i="19"/>
  <c r="E36" i="19"/>
  <c r="E35" i="19"/>
  <c r="E34" i="19"/>
  <c r="E33" i="19"/>
  <c r="E32" i="19"/>
  <c r="E31" i="19"/>
  <c r="E30" i="19"/>
  <c r="E29" i="19"/>
  <c r="J28" i="19"/>
  <c r="I28" i="19"/>
  <c r="H28" i="19"/>
  <c r="G28" i="19"/>
  <c r="F28" i="19"/>
  <c r="F19" i="19"/>
  <c r="E27" i="19"/>
  <c r="E26" i="19"/>
  <c r="E25" i="19"/>
  <c r="E24" i="19"/>
  <c r="E23" i="19"/>
  <c r="E22" i="19"/>
  <c r="E21" i="19"/>
  <c r="E20" i="19"/>
  <c r="K20" i="19" s="1"/>
  <c r="J19" i="19"/>
  <c r="I19" i="19"/>
  <c r="H19" i="19"/>
  <c r="G19" i="19"/>
  <c r="E18" i="19"/>
  <c r="E17" i="19"/>
  <c r="E16" i="19"/>
  <c r="E15" i="19"/>
  <c r="J14" i="19"/>
  <c r="I14" i="19"/>
  <c r="H14" i="19"/>
  <c r="G14" i="19"/>
  <c r="F14" i="19"/>
  <c r="E13" i="19"/>
  <c r="E12" i="19"/>
  <c r="J9" i="19"/>
  <c r="I9" i="19"/>
  <c r="H9" i="19"/>
  <c r="G9" i="19"/>
  <c r="F9" i="19"/>
  <c r="D84" i="17" l="1"/>
  <c r="K33" i="19"/>
  <c r="K12" i="19"/>
  <c r="K24" i="19"/>
  <c r="E9" i="19"/>
  <c r="K48" i="19"/>
  <c r="K34" i="19"/>
  <c r="K42" i="19"/>
  <c r="K47" i="19"/>
  <c r="H51" i="19"/>
  <c r="K23" i="19"/>
  <c r="K35" i="19"/>
  <c r="K15" i="19"/>
  <c r="K27" i="19"/>
  <c r="K29" i="19"/>
  <c r="K36" i="19"/>
  <c r="K43" i="19"/>
  <c r="K49" i="19"/>
  <c r="K10" i="19"/>
  <c r="K26" i="19"/>
  <c r="K30" i="19"/>
  <c r="K13" i="19"/>
  <c r="K50" i="19"/>
  <c r="K21" i="19"/>
  <c r="K32" i="19"/>
  <c r="K38" i="19"/>
  <c r="K40" i="19"/>
  <c r="K45" i="19"/>
  <c r="K22" i="19"/>
  <c r="K41" i="19"/>
  <c r="K16" i="19"/>
  <c r="K17" i="19"/>
  <c r="K31" i="19"/>
  <c r="K37" i="19"/>
  <c r="K44" i="19"/>
  <c r="K18" i="19"/>
  <c r="K25" i="19"/>
  <c r="K46" i="19"/>
  <c r="I51" i="19"/>
  <c r="J51" i="19"/>
  <c r="F51" i="19"/>
  <c r="G51" i="19"/>
  <c r="E14" i="19"/>
  <c r="E39" i="19"/>
  <c r="K11" i="19"/>
  <c r="E28" i="19"/>
  <c r="E19" i="19"/>
  <c r="K19" i="19" l="1"/>
  <c r="K9" i="19"/>
  <c r="K39" i="19"/>
  <c r="K28" i="19"/>
  <c r="K14" i="19"/>
  <c r="E51" i="19"/>
  <c r="F126" i="18"/>
  <c r="F125" i="18"/>
  <c r="D124" i="18"/>
  <c r="D121" i="18" s="1"/>
  <c r="F123" i="18"/>
  <c r="F122" i="18"/>
  <c r="E121" i="18"/>
  <c r="C121" i="18"/>
  <c r="F120" i="18"/>
  <c r="F119" i="18"/>
  <c r="D118" i="18"/>
  <c r="F118" i="18" s="1"/>
  <c r="F117" i="18"/>
  <c r="F116" i="18"/>
  <c r="E115" i="18"/>
  <c r="D115" i="18"/>
  <c r="C115" i="18"/>
  <c r="F114" i="18"/>
  <c r="F113" i="18"/>
  <c r="D112" i="18"/>
  <c r="F112" i="18" s="1"/>
  <c r="F111" i="18"/>
  <c r="F110" i="18"/>
  <c r="E109" i="18"/>
  <c r="C109" i="18"/>
  <c r="F107" i="18"/>
  <c r="F106" i="18"/>
  <c r="D105" i="18"/>
  <c r="D102" i="18" s="1"/>
  <c r="D101" i="18" s="1"/>
  <c r="F104" i="18"/>
  <c r="F103" i="18"/>
  <c r="E102" i="18"/>
  <c r="E101" i="18" s="1"/>
  <c r="C102" i="18"/>
  <c r="C101" i="18" s="1"/>
  <c r="F100" i="18"/>
  <c r="F99" i="18"/>
  <c r="D98" i="18"/>
  <c r="D95" i="18" s="1"/>
  <c r="D94" i="18" s="1"/>
  <c r="F97" i="18"/>
  <c r="F96" i="18"/>
  <c r="E95" i="18"/>
  <c r="E94" i="18" s="1"/>
  <c r="C95" i="18"/>
  <c r="C94" i="18" s="1"/>
  <c r="F93" i="18"/>
  <c r="F92" i="18"/>
  <c r="F91" i="18"/>
  <c r="F90" i="18"/>
  <c r="F89" i="18"/>
  <c r="F88" i="18" s="1"/>
  <c r="E88" i="18"/>
  <c r="D88" i="18"/>
  <c r="C88" i="18"/>
  <c r="F87" i="18"/>
  <c r="F86" i="18"/>
  <c r="D85" i="18"/>
  <c r="D82" i="18" s="1"/>
  <c r="F84" i="18"/>
  <c r="E83" i="18"/>
  <c r="E82" i="18" s="1"/>
  <c r="C82" i="18"/>
  <c r="F81" i="18"/>
  <c r="F80" i="18"/>
  <c r="E79" i="18"/>
  <c r="E76" i="18" s="1"/>
  <c r="F78" i="18"/>
  <c r="F77" i="18"/>
  <c r="D76" i="18"/>
  <c r="C76" i="18"/>
  <c r="F75" i="18"/>
  <c r="F74" i="18"/>
  <c r="E73" i="18"/>
  <c r="D73" i="18"/>
  <c r="C73" i="18"/>
  <c r="E71" i="18"/>
  <c r="F71" i="18" s="1"/>
  <c r="F70" i="18" s="1"/>
  <c r="E70" i="18"/>
  <c r="D70" i="18"/>
  <c r="C70" i="18"/>
  <c r="F69" i="18"/>
  <c r="F68" i="18"/>
  <c r="E67" i="18"/>
  <c r="F67" i="18" s="1"/>
  <c r="F66" i="18"/>
  <c r="E65" i="18"/>
  <c r="F65" i="18" s="1"/>
  <c r="D64" i="18"/>
  <c r="C64" i="18"/>
  <c r="F62" i="18"/>
  <c r="F61" i="18"/>
  <c r="F60" i="18"/>
  <c r="F59" i="18" s="1"/>
  <c r="E59" i="18"/>
  <c r="D59" i="18"/>
  <c r="C59" i="18"/>
  <c r="F58" i="18"/>
  <c r="F57" i="18"/>
  <c r="F56" i="18"/>
  <c r="E55" i="18"/>
  <c r="D55" i="18"/>
  <c r="C54" i="18"/>
  <c r="F53" i="18"/>
  <c r="F52" i="18"/>
  <c r="F51" i="18"/>
  <c r="F50" i="18"/>
  <c r="F49" i="18"/>
  <c r="E48" i="18"/>
  <c r="D48" i="18"/>
  <c r="C48" i="18"/>
  <c r="F47" i="18"/>
  <c r="F46" i="18"/>
  <c r="E45" i="18"/>
  <c r="D45" i="18"/>
  <c r="F45" i="18" s="1"/>
  <c r="F44" i="18"/>
  <c r="E43" i="18"/>
  <c r="F43" i="18" s="1"/>
  <c r="C42" i="18"/>
  <c r="F41" i="18"/>
  <c r="F40" i="18"/>
  <c r="D39" i="18"/>
  <c r="D36" i="18" s="1"/>
  <c r="F38" i="18"/>
  <c r="F37" i="18"/>
  <c r="E36" i="18"/>
  <c r="C36" i="18"/>
  <c r="F35" i="18"/>
  <c r="E34" i="18"/>
  <c r="D34" i="18"/>
  <c r="F34" i="18" s="1"/>
  <c r="F33" i="18"/>
  <c r="E31" i="18"/>
  <c r="F31" i="18" s="1"/>
  <c r="F30" i="18" s="1"/>
  <c r="E30" i="18"/>
  <c r="C30" i="18"/>
  <c r="F29" i="18"/>
  <c r="F28" i="18"/>
  <c r="D27" i="18"/>
  <c r="D24" i="18" s="1"/>
  <c r="F26" i="18"/>
  <c r="F25" i="18"/>
  <c r="E24" i="18"/>
  <c r="C24" i="18"/>
  <c r="F23" i="18"/>
  <c r="F22" i="18"/>
  <c r="F21" i="18"/>
  <c r="F20" i="18" s="1"/>
  <c r="E20" i="18"/>
  <c r="D20" i="18"/>
  <c r="C20" i="18"/>
  <c r="F19" i="18"/>
  <c r="F18" i="18"/>
  <c r="D17" i="18"/>
  <c r="D14" i="18" s="1"/>
  <c r="F16" i="18"/>
  <c r="E15" i="18"/>
  <c r="F15" i="18" s="1"/>
  <c r="E14" i="18"/>
  <c r="C14" i="18"/>
  <c r="F13" i="18"/>
  <c r="F12" i="18"/>
  <c r="D11" i="18"/>
  <c r="F11" i="18" s="1"/>
  <c r="F10" i="18"/>
  <c r="F9" i="18"/>
  <c r="E8" i="18"/>
  <c r="C8" i="18"/>
  <c r="D54" i="18" l="1"/>
  <c r="D72" i="18"/>
  <c r="D8" i="18"/>
  <c r="E54" i="18"/>
  <c r="D109" i="18"/>
  <c r="D108" i="18" s="1"/>
  <c r="F48" i="18"/>
  <c r="K51" i="19"/>
  <c r="C108" i="18"/>
  <c r="C63" i="18"/>
  <c r="E108" i="18"/>
  <c r="F42" i="18"/>
  <c r="E64" i="18"/>
  <c r="E63" i="18" s="1"/>
  <c r="F83" i="18"/>
  <c r="F115" i="18"/>
  <c r="C7" i="18"/>
  <c r="D63" i="18"/>
  <c r="F79" i="18"/>
  <c r="F76" i="18" s="1"/>
  <c r="F64" i="18"/>
  <c r="F63" i="18" s="1"/>
  <c r="F73" i="18"/>
  <c r="F85" i="18"/>
  <c r="F109" i="18"/>
  <c r="F39" i="18"/>
  <c r="F36" i="18" s="1"/>
  <c r="E42" i="18"/>
  <c r="E7" i="18" s="1"/>
  <c r="E128" i="18" s="1"/>
  <c r="F105" i="18"/>
  <c r="F102" i="18" s="1"/>
  <c r="F101" i="18" s="1"/>
  <c r="F8" i="18"/>
  <c r="F55" i="18"/>
  <c r="F54" i="18" s="1"/>
  <c r="C72" i="18"/>
  <c r="D30" i="18"/>
  <c r="E72" i="18"/>
  <c r="F98" i="18"/>
  <c r="F95" i="18" s="1"/>
  <c r="F94" i="18" s="1"/>
  <c r="F124" i="18"/>
  <c r="F121" i="18" s="1"/>
  <c r="F17" i="18"/>
  <c r="F14" i="18" s="1"/>
  <c r="F27" i="18"/>
  <c r="F24" i="18" s="1"/>
  <c r="D42" i="18"/>
  <c r="F82" i="18" l="1"/>
  <c r="F72" i="18" s="1"/>
  <c r="D7" i="18"/>
  <c r="D128" i="18" s="1"/>
  <c r="C128" i="18"/>
  <c r="F108" i="18"/>
  <c r="F7" i="18"/>
  <c r="F128" i="18" s="1"/>
</calcChain>
</file>

<file path=xl/sharedStrings.xml><?xml version="1.0" encoding="utf-8"?>
<sst xmlns="http://schemas.openxmlformats.org/spreadsheetml/2006/main" count="620" uniqueCount="317">
  <si>
    <t>TT</t>
  </si>
  <si>
    <t>Nội dung</t>
  </si>
  <si>
    <t>I</t>
  </si>
  <si>
    <t>II</t>
  </si>
  <si>
    <t>Số tiền</t>
  </si>
  <si>
    <t>Ghi chú</t>
  </si>
  <si>
    <t>III</t>
  </si>
  <si>
    <t>STT</t>
  </si>
  <si>
    <t>Đối tượng</t>
  </si>
  <si>
    <t>Khoản nợ phát sinh vào thời điểm năm nào</t>
  </si>
  <si>
    <t xml:space="preserve">Nguyên nhân để tồn tại công nợ </t>
  </si>
  <si>
    <t>Dương Đình Nuôi K15</t>
  </si>
  <si>
    <t>Vay xây dựng cầu Sú</t>
  </si>
  <si>
    <t>Dệt 19/8</t>
  </si>
  <si>
    <t>Chi tồn 19/8</t>
  </si>
  <si>
    <t>Ngân hàng Thạch Hà</t>
  </si>
  <si>
    <t>Tiền vay</t>
  </si>
  <si>
    <t>Lê Quốc Khánh K9</t>
  </si>
  <si>
    <t>XD đường nhựa đi HU cũ</t>
  </si>
  <si>
    <t>Lê Quốc Vượng Thị xã</t>
  </si>
  <si>
    <t>XD đường cấu Cày - Quán Gạc</t>
  </si>
  <si>
    <t>Nguyễn Đình Linh  QK5</t>
  </si>
  <si>
    <t>XD trường tiểu học 1</t>
  </si>
  <si>
    <t>Hoàng Xuân Lai K6</t>
  </si>
  <si>
    <t>XD cống bản</t>
  </si>
  <si>
    <t>Hoàng Xuân Lai K7</t>
  </si>
  <si>
    <t>XD trường TH1</t>
  </si>
  <si>
    <t>XNXD Thành Thắng K5</t>
  </si>
  <si>
    <t>XD các cua đường</t>
  </si>
  <si>
    <t>XNXD Hoàng Anh K12</t>
  </si>
  <si>
    <t>XD các công trình</t>
  </si>
  <si>
    <t>Lê V.Hải - Ng. Thủy Ngân</t>
  </si>
  <si>
    <t>Đường BTK1-K18</t>
  </si>
  <si>
    <t>Ng. Hữu Văn - Ng. Hữu Thanh</t>
  </si>
  <si>
    <t>XD mương nước khu dân cư</t>
  </si>
  <si>
    <t>XN Hoàng Anh</t>
  </si>
  <si>
    <t>Cầu K2</t>
  </si>
  <si>
    <t>Ng. Hữu Minh - Lê V. Hải</t>
  </si>
  <si>
    <t>Kênh BT K5-6 - 17-18</t>
  </si>
  <si>
    <t>DNTN Minh Linh K11</t>
  </si>
  <si>
    <t>Sửa chữa kênh tưới Cầu Sú</t>
  </si>
  <si>
    <t>DNTN Minh Linh K12</t>
  </si>
  <si>
    <t>Rải xô bồ đường WB</t>
  </si>
  <si>
    <t>CTCP XD&amp;TM 1/5</t>
  </si>
  <si>
    <t>XL điện chiếu sáng từ Cầu Nga đến Cầu Cúc</t>
  </si>
  <si>
    <t>Nguyễn Văn Tuấn</t>
  </si>
  <si>
    <t>Tạm thu CQSDD</t>
  </si>
  <si>
    <t>Từ thời Thị trấn Cày bàn giao, không có hồ sơ</t>
  </si>
  <si>
    <t>Có phiếu thu không xác định được có nộp vào NSNN hay không</t>
  </si>
  <si>
    <t>Đường GT tổ dân phố 1</t>
  </si>
  <si>
    <t>Đã QT</t>
  </si>
  <si>
    <t>Chi phí giám sát</t>
  </si>
  <si>
    <t>Chi phí lập HSMT, đánh giá HSDT</t>
  </si>
  <si>
    <t>Công ty TNHH TV và XD Hoàng Phan</t>
  </si>
  <si>
    <t>Đường Phan Huy Chú, Nguyễn Phi Sài, Hồ Phi Chấn, thị trấn Thạch Hà.</t>
  </si>
  <si>
    <t>CP lập HS mời thầu, đánh giá HS dự thầu</t>
  </si>
  <si>
    <t>Công ty TNHH tư vấn và xây dựng Hoàng Phan</t>
  </si>
  <si>
    <t>Đường giao thông Tổ dân phố 9 và khu quy hoạch Đồng Xối Tổ dân phố 10.</t>
  </si>
  <si>
    <t>Nâng cấp đường Trương Quốc Dụng và đường Phan Huy Chú</t>
  </si>
  <si>
    <t>CP lập và đánh giá hồ sơ mời thầu</t>
  </si>
  <si>
    <t>Hạ tầng đường giao thông và hệ thống thoát nước khu quy hoạch dân cư vùng Mỏ Diều, Tổ 09 thị trấn Thạch Hà</t>
  </si>
  <si>
    <t>Công ty Hoàng Phan</t>
  </si>
  <si>
    <t>CP thẩm định HS mời thầu, đánh giá HS dự thầu</t>
  </si>
  <si>
    <t>Công ty 579</t>
  </si>
  <si>
    <t>Hạ tầng cấp điện và cấp nước khu quy hoạch mỏ diều</t>
  </si>
  <si>
    <t>Nhà hành chính quản trị và các phòng phục vụ học tập trường mầm non thị trấn Thạch Hà.</t>
  </si>
  <si>
    <t>Nhà học 02 tầng 10 phòng trường tiểu học thị trấn Thạch Hà</t>
  </si>
  <si>
    <t>Trường Mầm non thị trấn Thạch Hà cơ sở 1 (Hạng mục: Cải tạo nhà học 2 tầng 8 phòng)</t>
  </si>
  <si>
    <t>Chi phí xây lắp</t>
  </si>
  <si>
    <t>Công ty CPXL và TM Hợp Lực</t>
  </si>
  <si>
    <t>Xây dựng nhà hành chính, các công trình phụ trợ trường mầm non xã Thạch Thanh</t>
  </si>
  <si>
    <t>Công ty cổ phần tư vấn xây dựng Ngọc Hà HT</t>
  </si>
  <si>
    <t xml:space="preserve">Nâng cấp đường giao thông Tổ dân phố 11, thị trấn Thạch Hà </t>
  </si>
  <si>
    <t>Chi phí tư vấn lập HSMT, đánh giá HSDT</t>
  </si>
  <si>
    <t>Chi phí thẩm định HSMT, đánh giá HSDT</t>
  </si>
  <si>
    <t>Chi phí lập HSMT &amp; đánh giá HSDT</t>
  </si>
  <si>
    <t>Chi phí thẩm định HSMT, KQLCNT</t>
  </si>
  <si>
    <t>Nhà văn hóa tổ dân phố 12 thị trấn Thạch Hà</t>
  </si>
  <si>
    <t xml:space="preserve">Công ty CPTVTK và XD Châu Anh </t>
  </si>
  <si>
    <t>Nâng cấp, mở rộng đường giao thông nội thị, Thị trấn Thạch Hà</t>
  </si>
  <si>
    <t>Công ty TNHH tư vấn và xây dựng Nguyễn Ánh</t>
  </si>
  <si>
    <t>Công ty TNHH Tư vấn và xây dựng Hoàng Phan</t>
  </si>
  <si>
    <t>Nhà văn hóa tổ dân phố 8 thị trấn Thạch Hà</t>
  </si>
  <si>
    <t xml:space="preserve"> Đài truyền thanh ứng dụng công nghệ thông tin-viễn thông Thị trấn Thạch Hà</t>
  </si>
  <si>
    <t>Chi phí Tư vấn thiết kế</t>
  </si>
  <si>
    <t>Sửa chữa nâng cấp đường trục xã Thạch Thanh</t>
  </si>
  <si>
    <t>Công ty TNHH xây dựng tổng hợp Nga Chức</t>
  </si>
  <si>
    <t>Công ty TNHH xây dựng và thương mại 579</t>
  </si>
  <si>
    <t>Công ty TNHH tư vấn và  xây dựng Hoàng Phan.</t>
  </si>
  <si>
    <t>Thanh toán chi phí tư vấn thẩm định hồ sơ mời thầu và kết quả lựa chọn nhà thầu</t>
  </si>
  <si>
    <t>Thanh toán chi phí tư vấn lập hồ sơ mời thầu và đánh giá hồ sơ dự thầu</t>
  </si>
  <si>
    <t>Đường giao thông tổ dân phố 13 thị trấn Thạch Hà năm 2024</t>
  </si>
  <si>
    <t>Nguyễn Bá Tài</t>
  </si>
  <si>
    <t>Đường giao thông tổ dân phố 14 thị trấn Thạch Hà năm 2024</t>
  </si>
  <si>
    <t xml:space="preserve">Đường GT nội đồng tổ dân phố 14 thị trấn Thạch Hà năm 2024 </t>
  </si>
  <si>
    <t>Hồ Thế Thắng</t>
  </si>
  <si>
    <t xml:space="preserve">Đường giao thông tổ dân phố 15 thị trấn Thạch Hà năm 2024 </t>
  </si>
  <si>
    <t xml:space="preserve">Kiên cố hóa kênh mương tổ dân phố 8 thị trấn Thạch Hà </t>
  </si>
  <si>
    <t xml:space="preserve">Kiên cố hóa kênh mương tổ dân phố 14 thị trấn Thạch Hà năm 2024 </t>
  </si>
  <si>
    <t>Nguyễn Sỹ Ngọc</t>
  </si>
  <si>
    <t xml:space="preserve">Khuôn viên nhà văn hóa tổ dân phố 4 và tổ dân phố 11; Khu vui chơi tổ dân phố 2 thị trấn Thạch Hà </t>
  </si>
  <si>
    <t>Nguyễn Phùng Thắng</t>
  </si>
  <si>
    <t xml:space="preserve">Đã QT </t>
  </si>
  <si>
    <t>Do bố trí nguồn vốn không đúng cơ cấu nên không thanh toán được</t>
  </si>
  <si>
    <t>Đã bố trí trong tk tiền gửi 5% BHXL</t>
  </si>
  <si>
    <t>Đã chuyển sang TK tạm giữ tại ngân hàng NN 5% BHXL</t>
  </si>
  <si>
    <t>Chi phí tư vấn thẩm định HSMT và KQLCNT</t>
  </si>
  <si>
    <t>Chi phí tư vấn lập HSMT và đánh giá HSDT</t>
  </si>
  <si>
    <t>Thuê máy đào chỉnh trang thị trấn</t>
  </si>
  <si>
    <t>Dịch vụ vệ sinh môi trường vận hành chiếu sáng tháng 6 năm 2025</t>
  </si>
  <si>
    <t>Nghiệm thu 30/6/2025</t>
  </si>
  <si>
    <t>6/2025</t>
  </si>
  <si>
    <t>4/2025</t>
  </si>
  <si>
    <t>5/2025</t>
  </si>
  <si>
    <t>Công ty cổ phần cung ứng dịch vụ số 1 Hà Tĩnh</t>
  </si>
  <si>
    <t>Hệ thống thoát nước, khuôn viên trường tiểu học 2 thị trấn Thạch Hà, hàng rào trạm y tế, mái che trường Phan Huy Chú</t>
  </si>
  <si>
    <t xml:space="preserve">Công trình: Kênh mương nội đồng. Điểm đầu từ kênh N1-12 đến xứ đồng Hàn Nồi xã Thạch Thanh
</t>
  </si>
  <si>
    <t>Năm 2025</t>
  </si>
  <si>
    <t>KP huấn luyện quân sự năm 2025</t>
  </si>
  <si>
    <t>VP Đăng ký đất đai hà tĩnh, chi nhánh Thạch Hà - Lộc Hà</t>
  </si>
  <si>
    <t>Năm 2023</t>
  </si>
  <si>
    <t>Trần Văn Vũ (KP làm mái che)</t>
  </si>
  <si>
    <t>Năm 2024</t>
  </si>
  <si>
    <t>Nguyễn Bá Lân (KP cung cấp VL NTM)</t>
  </si>
  <si>
    <t>Năm 2023-2024</t>
  </si>
  <si>
    <t>Nguyễn Văn Quang (KP cung cấp VL NTM)</t>
  </si>
  <si>
    <t>Phạm Thiện Bình (KP Máy múc cải tạo đồng ruộng và làm NTM)</t>
  </si>
  <si>
    <t>Năm 2021-2023</t>
  </si>
  <si>
    <t>VP đăng ký đất đai Hà Tĩnh thống kê đất đai năm 2024</t>
  </si>
  <si>
    <t>Hỗ trợ mô hình Ocop ( Đức Mâụ)</t>
  </si>
  <si>
    <t>Xử lý rác thải Từ tháng 5/2024- T2/2025 ( HTX Thạch Bàn)</t>
  </si>
  <si>
    <t>Xử lý rác thải năm  Quý I/2025 ( HTX môi trường Thạch Thanh)</t>
  </si>
  <si>
    <t>Cước mạng inter net cty vietel</t>
  </si>
  <si>
    <t>Mua ổ cứng lưu dữ liệu( Nguyễn Thị Nguyệt Anh)</t>
  </si>
  <si>
    <t>Cước mạng inter net ( 1.750.000 -745.000) vinafon</t>
  </si>
  <si>
    <t>Kiểm kê đất đai , lập bản đồ hiện trang sữ dụng đất năm 2024 xã Thạch Long, huyện Thạch Hà</t>
  </si>
  <si>
    <t>T2/2025</t>
  </si>
  <si>
    <t>Kiểm kê đất đai, lập bản đồ hiện trang sữ dụng đất năm 2024 thị trấn Thạch Hà</t>
  </si>
  <si>
    <t>Hệ thống biển báo, vạch kẻ đường đường giao thông xã Thạch Sơn</t>
  </si>
  <si>
    <t>Chi phí xây dựng</t>
  </si>
  <si>
    <t>Chi phí QLDA</t>
  </si>
  <si>
    <t>Chi phí TV đầu tư XD</t>
  </si>
  <si>
    <t>Chi phí khác</t>
  </si>
  <si>
    <t>Chi phí dự phòng</t>
  </si>
  <si>
    <t>Nâng cấp bó vỉa tuyến đường từ ngã tư cổng thôn Đình Hàn đến ngã tư nhà ông Tường và các hạng mục phụ trợ</t>
  </si>
  <si>
    <t>Nâng cấp hạ tầng nông thôn mới thôn Tri Khê, thôn Sơn Tiến, thôn Đình Hàn, thôn Sơn Hà xã Thạch Sơn</t>
  </si>
  <si>
    <t>Đường giao thông và rảnh thoát nước thôn Vạn Đò xã Thạch Sơn</t>
  </si>
  <si>
    <t>Xây dựng đài truyền thanh ứng dụng CNTT - Viễn thông xã Thạch Sơn, huyện Thạch Hà</t>
  </si>
  <si>
    <t>Chi phí thiết bị</t>
  </si>
  <si>
    <t>Chi phí quản lý dự án</t>
  </si>
  <si>
    <t>Chi phí tư vấn ĐTXD</t>
  </si>
  <si>
    <t>Nâng cấp tuyến đường đê hữu nghèn đoạn qua các thôn Tri Khê và thôn Sông Hải</t>
  </si>
  <si>
    <t xml:space="preserve">Chi phí xây dựng: </t>
  </si>
  <si>
    <t>Chi phí QLDA:</t>
  </si>
  <si>
    <t>Chi phí tư vấn xây dựng:</t>
  </si>
  <si>
    <t>Chi phí khác:</t>
  </si>
  <si>
    <t>Chi phí dự phòng:</t>
  </si>
  <si>
    <t>Phục hồi nâng cấp mặt đường giao thông nông thôn bằng vật liệu Carboncor, xã Thạch Sơn năm 2024</t>
  </si>
  <si>
    <t xml:space="preserve"> Hệ thống cột cờ, biển vẫy tuyên truyền xã Thạch Sơn</t>
  </si>
  <si>
    <t>Nâng cấp hạ tầng nông thôn mới thôn Tri Khê xã Thạch Sơn ( Giai đoạn 1)</t>
  </si>
  <si>
    <t>Nâng cấp hạ tầng nông thôn mới thôn Tri Khê xã Thạch Sơn ( Giai đoạn 2)</t>
  </si>
  <si>
    <t>Năm 2022</t>
  </si>
  <si>
    <t>Đường GT và rãnh thoát nước thôn Sơn Tiến</t>
  </si>
  <si>
    <t>Cải tạo, nâng cấp Đền Thần xã Thạch Sơn. Hạng mục: hàng rào, cổng, lát sân, xây mới hữu vu, tắc môn</t>
  </si>
  <si>
    <t>IV</t>
  </si>
  <si>
    <t>Năm 2021</t>
  </si>
  <si>
    <t>Quy hoạch tổng thể mặt bằng sử dụng đất ở dân cư thôn Sơn Tiến, xã Thạch Sơn TL1/500</t>
  </si>
  <si>
    <t>Chi phí khảo sát</t>
  </si>
  <si>
    <t>Xchi phí quy hoạch TL1/500</t>
  </si>
  <si>
    <t>Sân vận động xã Thạch Sơn</t>
  </si>
  <si>
    <t>Hệ thống kênh mương thủy lợi xứ Đồng Lại, xã Thạch Sơn</t>
  </si>
  <si>
    <t>Sân vận động thôn Đình Hàn</t>
  </si>
  <si>
    <t>V</t>
  </si>
  <si>
    <t>Năm 2020</t>
  </si>
  <si>
    <t>Chợ Rú xã Thạch Sơn</t>
  </si>
  <si>
    <t>VI</t>
  </si>
  <si>
    <t>Năm 2019</t>
  </si>
  <si>
    <t>Nâng cấp đường giao thông thôn Sơn Tiến</t>
  </si>
  <si>
    <t>VII</t>
  </si>
  <si>
    <t>Năm 2017</t>
  </si>
  <si>
    <t>Hạ tầng khu trung tâm xã Thạch Sơn</t>
  </si>
  <si>
    <t>Đường nội bộ khu trung tâm xã Thạch Sơn</t>
  </si>
  <si>
    <t>Hội quán thôn Sơn Hà</t>
  </si>
  <si>
    <t>Tổng cộng</t>
  </si>
  <si>
    <t>Đơn vị tính: đồng</t>
  </si>
  <si>
    <t>Công trình</t>
  </si>
  <si>
    <t>Tổng mức đầu tư</t>
  </si>
  <si>
    <t>Giá trị nghiệm thu</t>
  </si>
  <si>
    <t>Đã Thanh toán</t>
  </si>
  <si>
    <t>Còn nợ</t>
  </si>
  <si>
    <t>Tên Dự án, công trình</t>
  </si>
  <si>
    <t>Tổng dự toán được duyệt</t>
  </si>
  <si>
    <t>Giá trị Nghiêm thu/ quyết toán</t>
  </si>
  <si>
    <t xml:space="preserve">Tổng giá trị đã thanh toán </t>
  </si>
  <si>
    <t xml:space="preserve">Số tiền đã thanh toán  </t>
  </si>
  <si>
    <t>Nợ XDCB</t>
  </si>
  <si>
    <t>Trước năm 2022</t>
  </si>
  <si>
    <t xml:space="preserve">Công trình Đã hoàn thành </t>
  </si>
  <si>
    <t>Nhà học 2 tầng 6 phòng trường Mầm Non</t>
  </si>
  <si>
    <t>Đã Qt</t>
  </si>
  <si>
    <t xml:space="preserve"> Nhà hội quán thôn Đông Hà, xã Thạch Long.</t>
  </si>
  <si>
    <t>Di dời điện trung, hạ thế và TBA Tây Long, GPMB quy hoạch khu dân cư mở rộng thôn Gia Ngãi 1</t>
  </si>
  <si>
    <t>Nâng cấp đường GT nội đồng xã Thạch Long</t>
  </si>
  <si>
    <t>Công trình khởi công trong năm 2021</t>
  </si>
  <si>
    <t xml:space="preserve"> Di dời hàng rào hiến đất mở rộng hành lang giao thông của một số hộ dân xã Thạch Long.</t>
  </si>
  <si>
    <t>Hạ tầng kỷ thuật khu dân cư vùng giáp nhà thờ Long Thủy, thôn gia ngải 1, xã Thạch Long</t>
  </si>
  <si>
    <t>Mua sắm cơ sở vật chất trường Mầm non, trường Tiểu học và UBND xã Thạch Long</t>
  </si>
  <si>
    <t xml:space="preserve"> Cải tạo 2 dãy nhà học 02 tầng 08 phòng, nhà bếp, xây dựng sân bóng rổ, hệ thống sân khấu mái che và một số hạng mục trường Mần non Thạch Long . </t>
  </si>
  <si>
    <t>Công trình khởi công trong năm 2022</t>
  </si>
  <si>
    <t xml:space="preserve"> Khu thể thao xã Thạch Long </t>
  </si>
  <si>
    <t xml:space="preserve">Đường giao thông thôn Đại Đồng xã Thạch Long </t>
  </si>
  <si>
    <t xml:space="preserve">Đường giao thông trục xã từ thôn Đan Trung đến thôn Đông Hà 1, xã Thạch Long </t>
  </si>
  <si>
    <t xml:space="preserve">Đường vào nghĩa trang thôn Đan Trung và khuôn viên hàng rào các nghĩa trang xã Thạch Long </t>
  </si>
  <si>
    <t xml:space="preserve">Đường giao thông trục thôn thôn Đan Trung xã Thạch Long </t>
  </si>
  <si>
    <t xml:space="preserve">Nâng cấp trạm bơm Cồn Mưng và trạm Bơm Tam Tòa xã Thạch Long </t>
  </si>
  <si>
    <t xml:space="preserve">Xây dựng hệ thống điện 0.4kv vùng giáp nhà thờ Long Thủy </t>
  </si>
  <si>
    <t>Cung cấp thiết bị cải tạo nhà hành chính thành nhà học bộ môn và các hạng mục phụ trợ trường THCS Long Sơn, các hạng mục phụ trợ trường Tiểu học và trường Mầm Non Thạch Long.</t>
  </si>
  <si>
    <t>Công trình khới công năm 2023</t>
  </si>
  <si>
    <t>Nạo vét và gia cố bờ tuyến kênh tiêu thoát hói Mụ Rí, xã Thạch Long năm 2023</t>
  </si>
  <si>
    <t xml:space="preserve">Đào nạo vét kênh mương kết hợp với đường nội đồng vùng phá bỏ bơ thừa trong sản xuất lúa...tại thôn Giang Nam xã Thạch Long </t>
  </si>
  <si>
    <t xml:space="preserve">Hệ thống biển báo giao thông, vạch kẻ gở giảm tốc xã Thạch Long  </t>
  </si>
  <si>
    <t xml:space="preserve">Phục hồi mặt đường bằng rải thảm cacbonco thôn  Gia Ngãi 2 xã Thạch Long </t>
  </si>
  <si>
    <t xml:space="preserve">Phục hồi mặt đường bằng rải thảm cacbonco thôn Đan Trung xã Thạch Long </t>
  </si>
  <si>
    <t xml:space="preserve"> Đường GT trục xã giai đoạn 2 từ quôc lộ 15B đến nhà thờ giáo cứ lộc thủy </t>
  </si>
  <si>
    <t xml:space="preserve">Đường GT thôn Nam Gaing  xã Thạch Long </t>
  </si>
  <si>
    <t xml:space="preserve">Ngôi nhà trí tuệ thôn Gia Ngãi 1 xã Thạch Long  </t>
  </si>
  <si>
    <t xml:space="preserve">Sửa chữa các hạng mục trường mầm non, Trường tiểu học, Trường THCS và di dời đường điện từ TL20 sang đường trục xã 01 xã Thạch Long </t>
  </si>
  <si>
    <t xml:space="preserve">Hệ thống xử lý nước thải sinh hoạt xã Thạch Long  </t>
  </si>
  <si>
    <t>Khỏi công năm 2024</t>
  </si>
  <si>
    <t>Xây dựng bó vỉa tuyến đường từ ĐH.104 đi thôn Đông Hà xã Thạch Long năm 2024</t>
  </si>
  <si>
    <t>Nâng cấp phục hồi mặt đường bê tông bằng cacbon đường trục xã 02 xã Thạch Long năm 2024</t>
  </si>
  <si>
    <t xml:space="preserve"> Sửa chữa, nâng cấp Đài tượng niệm liệt sỹ xã Thạch Long</t>
  </si>
  <si>
    <t>Đường GTNT xã Thạch Long năm 2024 Dài 803m</t>
  </si>
  <si>
    <t>Đường GTNT xã Thạch Long năm 2024 ( Thôn Hội Cát)</t>
  </si>
  <si>
    <t>Đường GTNT xã Thạch Long năm 2024 ( Thôn Đông Hà 2 )</t>
  </si>
  <si>
    <t xml:space="preserve">Kiên cố hóa kênh mương thôn Đại Đồng </t>
  </si>
  <si>
    <t xml:space="preserve">Hệ thống sân khâu Đa năng , điện 3 pha, hệ thống camera an nunh trường học, cột mốc cắm quy hoạch </t>
  </si>
  <si>
    <t>Đường GTNT thôn Gia Ngãi 1 xã Thạch Long năm 2024</t>
  </si>
  <si>
    <t>Nâng cấp mở rộng đường GTNT thôn Đông Hà 1</t>
  </si>
  <si>
    <t>Nâng cấp , phục hồi mặt đường bê tông Nam bằng cacbonco Nam Giang</t>
  </si>
  <si>
    <t>TỔNG CỘNG</t>
  </si>
  <si>
    <t>Kinh phí vận chuyển rác thải sinh hoạt từ 15/6 đến 30/6</t>
  </si>
  <si>
    <t>HTX môi trường liên kết và dịch vụ tổng hợp LVS (KP vận chuyển rác)</t>
  </si>
  <si>
    <t>Hà Văn Chiến (KP máy múc làm NTM)</t>
  </si>
  <si>
    <t>Đã có hs hợp lệ thanh toán trong năm 2025 và đã bố trí trong nguồn kiến thiết thị chính năm 2025</t>
  </si>
  <si>
    <t>Đã có hs hợp lệ thanh toán trong năm 2025 đã bố trí trong dự toán năm 2025</t>
  </si>
  <si>
    <t>Đã có hs hợp lệ thanh toán trong năm 2025 và đã bố trí trong dự toán năm 2025</t>
  </si>
  <si>
    <t>Công nợ phải thu</t>
  </si>
  <si>
    <t>Nợ CQSD đất</t>
  </si>
  <si>
    <t>Phạm Văn Lượng</t>
  </si>
  <si>
    <t>Tiền cấp quyền SDĐ</t>
  </si>
  <si>
    <t>Đặng Bình Nhượng</t>
  </si>
  <si>
    <t>Bùi Sỹ Hưng</t>
  </si>
  <si>
    <t>Nguyễn Văn Lan</t>
  </si>
  <si>
    <t>Nguyễn Thị Phương</t>
  </si>
  <si>
    <t>Nguyễn Thị Xanh</t>
  </si>
  <si>
    <t>Nguyễn Thị Minh</t>
  </si>
  <si>
    <t>Nguyễn Hữu Lâm</t>
  </si>
  <si>
    <t>Trần Thị Thanh</t>
  </si>
  <si>
    <t>Nguyễn Đức Phương</t>
  </si>
  <si>
    <t>Trần Cảnh Dương</t>
  </si>
  <si>
    <t>Nguyễn Thị Hạnh</t>
  </si>
  <si>
    <t>Nợ sản phẩm</t>
  </si>
  <si>
    <t>Nợ các khối thị trấn Cày chuyển</t>
  </si>
  <si>
    <t>Nguyễn Thái Hoàn</t>
  </si>
  <si>
    <t>Các hộ dân</t>
  </si>
  <si>
    <t>Phạm V Sâm, Nguyễn V Điểm</t>
  </si>
  <si>
    <t>Nợ năm 2008 đến 17/02/2020</t>
  </si>
  <si>
    <t>Các khối</t>
  </si>
  <si>
    <t>Nguyễn Văn Trung</t>
  </si>
  <si>
    <t>Vay tiền</t>
  </si>
  <si>
    <t>Nguyễn Văn Bốn</t>
  </si>
  <si>
    <t>Vay mua giống</t>
  </si>
  <si>
    <t>Nguyễn Văn Vinh</t>
  </si>
  <si>
    <t>Vay nộp thủy lợi phí</t>
  </si>
  <si>
    <t>Nguyễn Hữu Trường</t>
  </si>
  <si>
    <t>Vay nộp tiền điện bơm</t>
  </si>
  <si>
    <t>Vay sửa máy bơm</t>
  </si>
  <si>
    <t>Đặng BÌnh Nhượng</t>
  </si>
  <si>
    <t>Vay XD điện chiếu sáng</t>
  </si>
  <si>
    <t>Lệ phí chợ</t>
  </si>
  <si>
    <t>Phan Đại Thanh</t>
  </si>
  <si>
    <t>Tiền lệ phí chợ</t>
  </si>
  <si>
    <t>Lê Xuân Bình</t>
  </si>
  <si>
    <t>Hoàng Xuân Dũng</t>
  </si>
  <si>
    <t>Tiền LPVSMT</t>
  </si>
  <si>
    <t>Phải thu khác</t>
  </si>
  <si>
    <t>Các khối nợ lúa lai</t>
  </si>
  <si>
    <t>Nî lóa lai</t>
  </si>
  <si>
    <t>Các hộ dân Sợi Giác</t>
  </si>
  <si>
    <t>Nợ tiền năm 2000 về trước</t>
  </si>
  <si>
    <t>Nguyễn Văn Mại</t>
  </si>
  <si>
    <t>Tiền phân bón</t>
  </si>
  <si>
    <t>Nợ KT sau bàn giao 2012</t>
  </si>
  <si>
    <t>Nguyễn Thanh Tam</t>
  </si>
  <si>
    <t>Võ Viết Xuân</t>
  </si>
  <si>
    <t>Phan Sỹ Long</t>
  </si>
  <si>
    <t>Ngô Văn Thành</t>
  </si>
  <si>
    <t>Nợ các TDP đóng góp XDCSHT</t>
  </si>
  <si>
    <t>Tổ dân phố 1</t>
  </si>
  <si>
    <t>Đóng góp XD kiên cố hóa KM 2018</t>
  </si>
  <si>
    <t>Đã có hs hợp lệ cần thanh toán trong năm 2025 chưa được bố trí trong dự toán năm 2025</t>
  </si>
  <si>
    <t>Nợ không thanh toán được do quá niên độ ngân sách</t>
  </si>
  <si>
    <t>Nợ đã bố trí trong dự toán đầu năm và cân đối được</t>
  </si>
  <si>
    <t>Nợ cần thanh toán trong năm chưa được bố trí dự toán</t>
  </si>
  <si>
    <t>Năm 2026</t>
  </si>
  <si>
    <t>ỦY BAN NHÂN DÂN</t>
  </si>
  <si>
    <t>XÃ THẠCH HÀ</t>
  </si>
  <si>
    <t>ỦY BAN NHÂN DÂN XÃ</t>
  </si>
  <si>
    <t xml:space="preserve">Đơn vị tính: Đồng </t>
  </si>
  <si>
    <t>Hồ sơ quá niên độ ngân sách</t>
  </si>
  <si>
    <t>Trồng cây xanh chỉnh trang các tuyến đường thị trấn Thạch Hà</t>
  </si>
  <si>
    <t>PHỤ LỤC 03: BÁO CÁO TÌNH HÌNH CÔNG NỢ PHẢI THU</t>
  </si>
  <si>
    <t xml:space="preserve">PHỤ LỤC 04: BÁO CÁO TÌNH HÌNH CÔNG NỢ CHI THƯỜNG XUYÊN </t>
  </si>
  <si>
    <t xml:space="preserve">PHỤ LỤC 05: BÁO CÁO TÌNH HÌNH CÔNG NỢ XÂY DỰNG CƠ BẢN </t>
  </si>
  <si>
    <t>PHỤ LỤC 06: NỢ CÔNG TRÌNH XÂY DỰNG CƠ BẢN</t>
  </si>
  <si>
    <t>PHỤ LỤC 07: NỢ CÔNG TRÌNH XÂY DỰNG CƠ BẢN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</si>
</sst>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 _₫_-;\-* #,##0.00\ _₫_-;_-* &quot;-&quot;??\ _₫_-;_-@_-"/>
    <numFmt numFmtId="165" formatCode="_(* #,##0_);_(* \(#,##0\);_(* &quot;-&quot;??_);_(@_)"/>
    <numFmt numFmtId="166" formatCode="#,##0.000"/>
    <numFmt numFmtId="167" formatCode="_(* #,##0.0_);_(* \(#,##0.0\);_(* &quot;-&quot;??_);_(@_)"/>
    <numFmt numFmtId="168" formatCode="_-* #,##0\ _₫_-;\-* #,##0\ _₫_-;_-* &quot;-&quot;??\ _₫_-;_-@_-"/>
  </numFmts>
  <fonts count="35" x14ac:knownFonts="1">
    <font>
      <sz val="11"/>
      <color theme="1"/>
      <name val="Calibri"/>
      <family val="2"/>
      <charset val="163"/>
      <scheme val="minor"/>
    </font>
    <font>
      <sz val="11"/>
      <color theme="1"/>
      <name val="Calibri"/>
      <family val="2"/>
      <charset val="163"/>
      <scheme val="minor"/>
    </font>
    <font>
      <b/>
      <sz val="12"/>
      <color theme="1"/>
      <name val="Times New Roman"/>
      <family val="1"/>
    </font>
    <font>
      <sz val="12"/>
      <name val="Times New Roman"/>
      <family val="1"/>
    </font>
    <font>
      <sz val="12"/>
      <color theme="1"/>
      <name val="Times New Roman"/>
      <family val="1"/>
    </font>
    <font>
      <sz val="13"/>
      <color theme="1"/>
      <name val="Times New Roman"/>
      <family val="1"/>
    </font>
    <font>
      <b/>
      <sz val="13"/>
      <color theme="1"/>
      <name val="Times New Roman"/>
      <family val="1"/>
    </font>
    <font>
      <i/>
      <sz val="13"/>
      <color theme="1"/>
      <name val="Times New Roman"/>
      <family val="1"/>
    </font>
    <font>
      <sz val="10"/>
      <name val="Arial"/>
      <family val="2"/>
    </font>
    <font>
      <sz val="14"/>
      <color theme="1"/>
      <name val="Times New Roman"/>
      <family val="1"/>
    </font>
    <font>
      <sz val="12"/>
      <color rgb="FF000000"/>
      <name val="Times New Roman"/>
      <family val="1"/>
    </font>
    <font>
      <b/>
      <sz val="12"/>
      <color indexed="8"/>
      <name val="Times New Roman"/>
      <family val="1"/>
    </font>
    <font>
      <b/>
      <sz val="12"/>
      <name val="Times New Roman"/>
      <family val="1"/>
    </font>
    <font>
      <sz val="12"/>
      <color indexed="8"/>
      <name val="Times New Roman"/>
      <family val="1"/>
    </font>
    <font>
      <sz val="12"/>
      <color theme="1"/>
      <name val=".VnTime"/>
      <family val="2"/>
    </font>
    <font>
      <sz val="11"/>
      <color theme="1"/>
      <name val="Calibri"/>
      <family val="2"/>
      <scheme val="minor"/>
    </font>
    <font>
      <sz val="14"/>
      <color theme="1"/>
      <name val="Times New Roman"/>
      <family val="2"/>
    </font>
    <font>
      <sz val="11"/>
      <name val="Times New Roman"/>
      <family val="1"/>
    </font>
    <font>
      <b/>
      <sz val="11"/>
      <color theme="1"/>
      <name val="Times New Roman"/>
      <family val="1"/>
    </font>
    <font>
      <b/>
      <sz val="11"/>
      <name val="Times New Roman"/>
      <family val="1"/>
    </font>
    <font>
      <sz val="11"/>
      <color theme="1"/>
      <name val="Times New Roman"/>
      <family val="1"/>
    </font>
    <font>
      <i/>
      <sz val="11"/>
      <color theme="1"/>
      <name val="Times New Roman"/>
      <family val="1"/>
    </font>
    <font>
      <sz val="12"/>
      <name val="Times New Roman"/>
      <family val="1"/>
      <charset val="163"/>
    </font>
    <font>
      <b/>
      <i/>
      <sz val="13"/>
      <color theme="1"/>
      <name val="Times New Roman"/>
      <family val="1"/>
    </font>
    <font>
      <i/>
      <sz val="12"/>
      <color theme="1"/>
      <name val="Times New Roman"/>
      <family val="1"/>
    </font>
    <font>
      <b/>
      <sz val="11"/>
      <color theme="1"/>
      <name val="Calibri"/>
      <family val="2"/>
      <charset val="163"/>
      <scheme val="minor"/>
    </font>
    <font>
      <b/>
      <i/>
      <sz val="12"/>
      <color theme="1"/>
      <name val="Times New Roman"/>
      <family val="1"/>
    </font>
    <font>
      <i/>
      <sz val="12"/>
      <name val="Times New Roman"/>
      <family val="1"/>
    </font>
    <font>
      <sz val="11"/>
      <name val="Calibri"/>
      <family val="2"/>
      <charset val="163"/>
      <scheme val="minor"/>
    </font>
    <font>
      <i/>
      <sz val="13"/>
      <name val="Times New Roman"/>
      <family val="1"/>
    </font>
    <font>
      <b/>
      <sz val="12.5"/>
      <color theme="1"/>
      <name val="Times New Roman"/>
      <family val="1"/>
    </font>
    <font>
      <sz val="12.5"/>
      <color theme="1"/>
      <name val="Times New Roman"/>
      <family val="1"/>
    </font>
    <font>
      <b/>
      <sz val="12"/>
      <color rgb="FF081B3A"/>
      <name val="Times New Roman"/>
      <family val="1"/>
    </font>
    <font>
      <b/>
      <sz val="11"/>
      <color rgb="FFFF0000"/>
      <name val="Times New Roman"/>
      <family val="1"/>
    </font>
    <font>
      <sz val="11"/>
      <color rgb="FFFF0000"/>
      <name val="Times New Roman"/>
      <family val="1"/>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FFFFFF"/>
      </patternFill>
    </fill>
    <fill>
      <patternFill patternType="solid">
        <fgColor theme="0"/>
        <bgColor rgb="FFFFFFFF"/>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11">
    <xf numFmtId="0" fontId="0" fillId="0" borderId="0"/>
    <xf numFmtId="164" fontId="1" fillId="0" borderId="0" applyFont="0" applyFill="0" applyBorder="0" applyAlignment="0" applyProtection="0"/>
    <xf numFmtId="3" fontId="3" fillId="0" borderId="0">
      <alignment vertical="center" wrapText="1"/>
    </xf>
    <xf numFmtId="43" fontId="8" fillId="0" borderId="0" applyFont="0" applyFill="0" applyBorder="0" applyAlignment="0" applyProtection="0"/>
    <xf numFmtId="0" fontId="8" fillId="0" borderId="0"/>
    <xf numFmtId="0" fontId="15" fillId="0" borderId="0"/>
    <xf numFmtId="0" fontId="15" fillId="0" borderId="0"/>
    <xf numFmtId="43" fontId="15" fillId="0" borderId="0" applyFont="0" applyFill="0" applyBorder="0" applyAlignment="0" applyProtection="0"/>
    <xf numFmtId="0" fontId="16" fillId="0" borderId="0"/>
    <xf numFmtId="0" fontId="3" fillId="0" borderId="0"/>
    <xf numFmtId="0" fontId="22" fillId="0" borderId="0"/>
  </cellStyleXfs>
  <cellXfs count="210">
    <xf numFmtId="0" fontId="0" fillId="0" borderId="0" xfId="0"/>
    <xf numFmtId="0" fontId="4" fillId="0" borderId="6" xfId="0" applyFont="1" applyBorder="1" applyAlignment="1">
      <alignment horizontal="center" vertical="center" wrapText="1"/>
    </xf>
    <xf numFmtId="0" fontId="4" fillId="0" borderId="0" xfId="0" applyFont="1" applyAlignment="1">
      <alignment horizontal="center" vertical="center"/>
    </xf>
    <xf numFmtId="0" fontId="4" fillId="0" borderId="6" xfId="0" applyFont="1" applyBorder="1" applyAlignment="1">
      <alignment horizontal="center" vertical="center"/>
    </xf>
    <xf numFmtId="0" fontId="2" fillId="0" borderId="6" xfId="0" applyFont="1" applyBorder="1" applyAlignment="1">
      <alignment horizontal="center" vertical="center"/>
    </xf>
    <xf numFmtId="0" fontId="5"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5" fillId="0" borderId="6" xfId="0" applyFont="1" applyBorder="1" applyAlignment="1">
      <alignment horizontal="center" vertical="center"/>
    </xf>
    <xf numFmtId="0" fontId="6" fillId="0" borderId="6" xfId="0" applyFont="1" applyBorder="1" applyAlignment="1">
      <alignment horizontal="left" vertical="center"/>
    </xf>
    <xf numFmtId="0" fontId="5" fillId="0" borderId="6" xfId="0" applyFont="1" applyBorder="1" applyAlignment="1">
      <alignment horizontal="center" vertical="center" wrapText="1"/>
    </xf>
    <xf numFmtId="0" fontId="5" fillId="0" borderId="6" xfId="0" applyFont="1" applyBorder="1" applyAlignment="1">
      <alignment horizontal="left" vertical="center"/>
    </xf>
    <xf numFmtId="0" fontId="5" fillId="0" borderId="0" xfId="0" applyFont="1" applyAlignment="1">
      <alignment horizontal="center" vertical="center" wrapText="1"/>
    </xf>
    <xf numFmtId="0" fontId="4" fillId="0" borderId="6" xfId="0" applyFont="1" applyBorder="1" applyAlignment="1">
      <alignment horizontal="left" vertical="center"/>
    </xf>
    <xf numFmtId="0" fontId="5" fillId="0" borderId="6" xfId="0" applyFont="1" applyBorder="1" applyAlignment="1">
      <alignment horizontal="left" vertical="center" wrapText="1"/>
    </xf>
    <xf numFmtId="0" fontId="2" fillId="0" borderId="6" xfId="0" applyFont="1" applyBorder="1" applyAlignment="1">
      <alignment vertical="center" wrapText="1"/>
    </xf>
    <xf numFmtId="0" fontId="4" fillId="0" borderId="6" xfId="0" applyFont="1" applyBorder="1" applyAlignment="1">
      <alignment vertical="center" wrapText="1"/>
    </xf>
    <xf numFmtId="168" fontId="4" fillId="0" borderId="6" xfId="1" applyNumberFormat="1" applyFont="1" applyBorder="1" applyAlignment="1">
      <alignment horizontal="center" vertical="center" wrapText="1"/>
    </xf>
    <xf numFmtId="0" fontId="3" fillId="0" borderId="6" xfId="0" applyFont="1" applyBorder="1" applyAlignment="1">
      <alignment horizontal="center" vertical="center" wrapText="1"/>
    </xf>
    <xf numFmtId="0" fontId="10" fillId="0" borderId="6" xfId="0" applyFont="1" applyBorder="1" applyAlignment="1">
      <alignment horizontal="center" vertical="center" wrapText="1"/>
    </xf>
    <xf numFmtId="3" fontId="3" fillId="0" borderId="6" xfId="0" applyNumberFormat="1" applyFont="1" applyBorder="1" applyAlignment="1">
      <alignment vertical="center"/>
    </xf>
    <xf numFmtId="3" fontId="10" fillId="0" borderId="6" xfId="0" applyNumberFormat="1" applyFont="1" applyBorder="1" applyAlignment="1">
      <alignment vertical="center"/>
    </xf>
    <xf numFmtId="165" fontId="4" fillId="4" borderId="6" xfId="1" applyNumberFormat="1" applyFont="1" applyFill="1" applyBorder="1" applyAlignment="1">
      <alignment horizontal="center" vertical="center" wrapText="1"/>
    </xf>
    <xf numFmtId="3" fontId="9" fillId="0" borderId="6" xfId="0" applyNumberFormat="1" applyFont="1" applyBorder="1" applyAlignment="1">
      <alignment vertical="center"/>
    </xf>
    <xf numFmtId="168" fontId="3" fillId="0" borderId="6" xfId="1" applyNumberFormat="1" applyFont="1" applyBorder="1" applyAlignment="1">
      <alignment wrapText="1"/>
    </xf>
    <xf numFmtId="168" fontId="3" fillId="0" borderId="6" xfId="1" applyNumberFormat="1" applyFont="1" applyBorder="1" applyAlignment="1">
      <alignment horizontal="right" wrapText="1"/>
    </xf>
    <xf numFmtId="0" fontId="3" fillId="0" borderId="6" xfId="0" applyFont="1" applyBorder="1" applyAlignment="1">
      <alignment horizontal="left" vertical="center" wrapText="1"/>
    </xf>
    <xf numFmtId="165" fontId="3" fillId="0" borderId="6" xfId="3" applyNumberFormat="1" applyFont="1" applyBorder="1" applyAlignment="1">
      <alignment horizontal="right" vertical="center"/>
    </xf>
    <xf numFmtId="0" fontId="3" fillId="0" borderId="6" xfId="0" applyFont="1" applyBorder="1" applyAlignment="1">
      <alignment vertical="center" wrapText="1"/>
    </xf>
    <xf numFmtId="165" fontId="3" fillId="0" borderId="6" xfId="3" applyNumberFormat="1" applyFont="1" applyFill="1" applyBorder="1" applyAlignment="1">
      <alignment horizontal="right" vertical="center" wrapText="1"/>
    </xf>
    <xf numFmtId="165" fontId="12" fillId="0" borderId="6" xfId="1" applyNumberFormat="1" applyFont="1" applyBorder="1" applyAlignment="1">
      <alignment horizontal="right" wrapText="1"/>
    </xf>
    <xf numFmtId="165" fontId="13" fillId="0" borderId="6" xfId="1" applyNumberFormat="1" applyFont="1" applyBorder="1" applyAlignment="1">
      <alignment horizontal="center" vertical="center"/>
    </xf>
    <xf numFmtId="0" fontId="13" fillId="0" borderId="6" xfId="0" applyFont="1" applyBorder="1" applyAlignment="1">
      <alignment horizontal="left" vertical="center" wrapText="1"/>
    </xf>
    <xf numFmtId="168" fontId="12" fillId="0" borderId="6" xfId="1" applyNumberFormat="1" applyFont="1" applyBorder="1" applyAlignment="1">
      <alignment horizontal="right" wrapText="1"/>
    </xf>
    <xf numFmtId="168" fontId="3" fillId="0" borderId="6" xfId="1" applyNumberFormat="1" applyFont="1" applyBorder="1" applyAlignment="1">
      <alignment horizontal="right" vertical="center" wrapText="1"/>
    </xf>
    <xf numFmtId="168" fontId="3" fillId="0" borderId="6" xfId="1" applyNumberFormat="1" applyFont="1" applyBorder="1"/>
    <xf numFmtId="0" fontId="13" fillId="0" borderId="6" xfId="4" applyFont="1" applyBorder="1" applyAlignment="1">
      <alignment horizontal="left" vertical="center" wrapText="1"/>
    </xf>
    <xf numFmtId="168" fontId="12" fillId="0" borderId="6" xfId="1" applyNumberFormat="1" applyFont="1" applyBorder="1" applyAlignment="1">
      <alignment horizontal="left"/>
    </xf>
    <xf numFmtId="0" fontId="12" fillId="0" borderId="6" xfId="0" applyFont="1" applyBorder="1"/>
    <xf numFmtId="168" fontId="12" fillId="0" borderId="6" xfId="1" applyNumberFormat="1" applyFont="1" applyBorder="1"/>
    <xf numFmtId="3" fontId="3" fillId="0" borderId="6" xfId="0" applyNumberFormat="1" applyFont="1" applyBorder="1" applyAlignment="1">
      <alignment horizontal="right" vertical="center" wrapText="1"/>
    </xf>
    <xf numFmtId="165" fontId="13" fillId="3" borderId="6" xfId="1" applyNumberFormat="1" applyFont="1" applyFill="1" applyBorder="1" applyAlignment="1">
      <alignment horizontal="center" vertical="center" wrapText="1"/>
    </xf>
    <xf numFmtId="3" fontId="4" fillId="0" borderId="6" xfId="0" applyNumberFormat="1" applyFont="1" applyBorder="1" applyAlignment="1">
      <alignment vertical="center"/>
    </xf>
    <xf numFmtId="168" fontId="4" fillId="0" borderId="6" xfId="1" applyNumberFormat="1" applyFont="1" applyBorder="1" applyAlignment="1">
      <alignment horizontal="center" vertical="center"/>
    </xf>
    <xf numFmtId="167" fontId="3" fillId="0" borderId="6" xfId="3" applyNumberFormat="1" applyFont="1" applyBorder="1" applyAlignment="1">
      <alignment horizontal="center" wrapText="1"/>
    </xf>
    <xf numFmtId="0" fontId="12" fillId="0" borderId="6" xfId="0" applyFont="1" applyBorder="1" applyAlignment="1">
      <alignment horizontal="center" vertical="center"/>
    </xf>
    <xf numFmtId="0" fontId="12" fillId="0" borderId="6" xfId="0" applyFont="1" applyBorder="1" applyAlignment="1">
      <alignment horizontal="center"/>
    </xf>
    <xf numFmtId="0" fontId="4" fillId="0" borderId="6" xfId="0" applyFont="1" applyBorder="1" applyAlignment="1">
      <alignment wrapText="1"/>
    </xf>
    <xf numFmtId="3" fontId="14" fillId="0" borderId="6" xfId="0" applyNumberFormat="1" applyFont="1" applyBorder="1" applyAlignment="1">
      <alignment vertical="center"/>
    </xf>
    <xf numFmtId="167" fontId="12" fillId="0" borderId="6" xfId="1" applyNumberFormat="1" applyFont="1" applyBorder="1" applyAlignment="1">
      <alignment horizontal="center"/>
    </xf>
    <xf numFmtId="167" fontId="3" fillId="0" borderId="6" xfId="1" applyNumberFormat="1" applyFont="1" applyBorder="1" applyAlignment="1">
      <alignment horizontal="center"/>
    </xf>
    <xf numFmtId="165" fontId="3" fillId="0" borderId="6" xfId="1" applyNumberFormat="1" applyFont="1" applyBorder="1" applyAlignment="1">
      <alignment horizontal="center"/>
    </xf>
    <xf numFmtId="49" fontId="5" fillId="0" borderId="6" xfId="0" applyNumberFormat="1" applyFont="1" applyBorder="1" applyAlignment="1">
      <alignment horizontal="center" vertical="center" wrapText="1"/>
    </xf>
    <xf numFmtId="168" fontId="2" fillId="0" borderId="6" xfId="1" applyNumberFormat="1" applyFont="1" applyBorder="1" applyAlignment="1">
      <alignment horizontal="center" vertical="center" wrapText="1"/>
    </xf>
    <xf numFmtId="0" fontId="6"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2" fillId="0" borderId="6" xfId="0" applyFont="1" applyBorder="1" applyAlignment="1">
      <alignment horizontal="left" vertical="center" wrapText="1"/>
    </xf>
    <xf numFmtId="0" fontId="5" fillId="0" borderId="6" xfId="0" applyFont="1" applyBorder="1" applyAlignment="1">
      <alignment vertical="center"/>
    </xf>
    <xf numFmtId="0" fontId="5" fillId="0" borderId="6" xfId="0" applyFont="1" applyBorder="1" applyAlignment="1">
      <alignment vertical="center" wrapText="1"/>
    </xf>
    <xf numFmtId="0" fontId="19" fillId="2" borderId="6" xfId="0" applyFont="1" applyFill="1" applyBorder="1" applyAlignment="1">
      <alignment vertical="center" wrapText="1"/>
    </xf>
    <xf numFmtId="0" fontId="19" fillId="2" borderId="6" xfId="0" applyFont="1" applyFill="1" applyBorder="1" applyAlignment="1">
      <alignment horizontal="left" vertical="center" wrapText="1"/>
    </xf>
    <xf numFmtId="0" fontId="19" fillId="2" borderId="6" xfId="0" applyFont="1" applyFill="1" applyBorder="1" applyAlignment="1">
      <alignment vertical="center"/>
    </xf>
    <xf numFmtId="0" fontId="18" fillId="0" borderId="6" xfId="0" applyFont="1" applyBorder="1" applyAlignment="1">
      <alignment horizontal="center"/>
    </xf>
    <xf numFmtId="0" fontId="0" fillId="0" borderId="6" xfId="0" applyBorder="1"/>
    <xf numFmtId="168" fontId="18" fillId="0" borderId="6" xfId="0" applyNumberFormat="1" applyFont="1" applyBorder="1"/>
    <xf numFmtId="0" fontId="3" fillId="0" borderId="6" xfId="0" applyFont="1" applyBorder="1" applyAlignment="1">
      <alignment horizontal="center" wrapText="1"/>
    </xf>
    <xf numFmtId="0" fontId="2" fillId="0" borderId="0" xfId="0" applyFont="1" applyAlignment="1">
      <alignment horizontal="center" vertical="center"/>
    </xf>
    <xf numFmtId="0" fontId="7" fillId="0" borderId="7" xfId="0" applyFont="1" applyBorder="1" applyAlignment="1">
      <alignment horizontal="right" vertical="center" wrapText="1"/>
    </xf>
    <xf numFmtId="3" fontId="9" fillId="0" borderId="6" xfId="0" applyNumberFormat="1" applyFont="1" applyBorder="1" applyAlignment="1">
      <alignment horizontal="right" vertical="center"/>
    </xf>
    <xf numFmtId="3" fontId="6" fillId="0" borderId="6" xfId="0" applyNumberFormat="1" applyFont="1" applyBorder="1" applyAlignment="1">
      <alignment horizontal="right" vertical="center"/>
    </xf>
    <xf numFmtId="3" fontId="5" fillId="0" borderId="6" xfId="7" applyNumberFormat="1" applyFont="1" applyBorder="1" applyAlignment="1">
      <alignment horizontal="right" vertical="center"/>
    </xf>
    <xf numFmtId="3" fontId="5" fillId="0" borderId="6" xfId="1" applyNumberFormat="1" applyFont="1" applyBorder="1" applyAlignment="1">
      <alignment horizontal="right" vertical="center"/>
    </xf>
    <xf numFmtId="0" fontId="25" fillId="0" borderId="0" xfId="0" applyFont="1"/>
    <xf numFmtId="0" fontId="0" fillId="0" borderId="0" xfId="0" applyAlignment="1">
      <alignment horizontal="center"/>
    </xf>
    <xf numFmtId="168" fontId="0" fillId="0" borderId="0" xfId="0" applyNumberFormat="1"/>
    <xf numFmtId="0" fontId="3" fillId="0" borderId="0" xfId="0" applyFont="1" applyAlignment="1">
      <alignment horizontal="center" vertical="center"/>
    </xf>
    <xf numFmtId="0" fontId="12" fillId="0" borderId="0" xfId="0" applyFont="1" applyAlignment="1">
      <alignment horizontal="center" vertical="center"/>
    </xf>
    <xf numFmtId="0" fontId="27" fillId="0" borderId="0" xfId="0" applyFont="1" applyAlignment="1">
      <alignment horizontal="center" vertical="center" wrapText="1"/>
    </xf>
    <xf numFmtId="0" fontId="28" fillId="0" borderId="0" xfId="0" applyFont="1"/>
    <xf numFmtId="0" fontId="12" fillId="0" borderId="6" xfId="0" applyFont="1" applyBorder="1" applyAlignment="1">
      <alignment horizontal="center" vertical="center" wrapText="1"/>
    </xf>
    <xf numFmtId="0" fontId="12" fillId="0" borderId="6" xfId="0" applyFont="1" applyBorder="1" applyAlignment="1">
      <alignment horizontal="left" vertical="center"/>
    </xf>
    <xf numFmtId="168" fontId="12" fillId="0" borderId="6" xfId="1" applyNumberFormat="1" applyFont="1" applyBorder="1" applyAlignment="1">
      <alignment horizontal="center" vertical="center" wrapText="1"/>
    </xf>
    <xf numFmtId="0" fontId="3" fillId="0" borderId="6" xfId="0" applyFont="1" applyBorder="1" applyAlignment="1">
      <alignment horizontal="center" vertical="center"/>
    </xf>
    <xf numFmtId="0" fontId="28" fillId="0" borderId="0" xfId="0" applyFont="1" applyAlignment="1">
      <alignment vertical="center"/>
    </xf>
    <xf numFmtId="0" fontId="12" fillId="0" borderId="6" xfId="0" applyFont="1" applyBorder="1" applyAlignment="1">
      <alignment vertical="center" wrapText="1"/>
    </xf>
    <xf numFmtId="168" fontId="12" fillId="0" borderId="6" xfId="1" applyNumberFormat="1" applyFont="1" applyBorder="1" applyAlignment="1">
      <alignment horizontal="right" vertical="center" wrapText="1"/>
    </xf>
    <xf numFmtId="0" fontId="28" fillId="0" borderId="6" xfId="0" applyFont="1" applyBorder="1" applyAlignment="1">
      <alignment vertical="center"/>
    </xf>
    <xf numFmtId="168" fontId="12" fillId="0" borderId="6" xfId="1" applyNumberFormat="1" applyFont="1" applyFill="1" applyBorder="1" applyAlignment="1">
      <alignment horizontal="right" vertical="center" wrapText="1"/>
    </xf>
    <xf numFmtId="168" fontId="3" fillId="0" borderId="6" xfId="1" applyNumberFormat="1" applyFont="1" applyFill="1" applyBorder="1" applyAlignment="1">
      <alignment horizontal="right" vertical="center" wrapText="1"/>
    </xf>
    <xf numFmtId="0" fontId="17" fillId="0" borderId="6" xfId="0" applyFont="1" applyBorder="1" applyAlignment="1">
      <alignment horizontal="left" vertical="center" wrapText="1"/>
    </xf>
    <xf numFmtId="0" fontId="26" fillId="0" borderId="0" xfId="0" applyFont="1" applyAlignment="1">
      <alignment horizontal="center" vertical="center"/>
    </xf>
    <xf numFmtId="0" fontId="30" fillId="0" borderId="6" xfId="0" applyFont="1" applyBorder="1" applyAlignment="1">
      <alignment horizontal="center" vertical="center"/>
    </xf>
    <xf numFmtId="0" fontId="30" fillId="0" borderId="6" xfId="0" applyFont="1" applyBorder="1" applyAlignment="1">
      <alignment vertical="center" wrapText="1"/>
    </xf>
    <xf numFmtId="3" fontId="30" fillId="0" borderId="6" xfId="0" applyNumberFormat="1" applyFont="1" applyBorder="1" applyAlignment="1">
      <alignment vertical="center"/>
    </xf>
    <xf numFmtId="49" fontId="31" fillId="0" borderId="6" xfId="0" applyNumberFormat="1" applyFont="1" applyBorder="1" applyAlignment="1">
      <alignment horizontal="center" vertical="center" wrapText="1"/>
    </xf>
    <xf numFmtId="0" fontId="31" fillId="0" borderId="6" xfId="0" applyFont="1" applyBorder="1" applyAlignment="1">
      <alignment horizontal="center" vertical="center" wrapText="1"/>
    </xf>
    <xf numFmtId="0" fontId="31" fillId="0" borderId="6" xfId="0" applyFont="1" applyBorder="1" applyAlignment="1">
      <alignment horizontal="center" vertical="center"/>
    </xf>
    <xf numFmtId="0" fontId="31" fillId="0" borderId="0" xfId="0" applyFont="1" applyAlignment="1">
      <alignment horizontal="center" vertical="center"/>
    </xf>
    <xf numFmtId="0" fontId="31" fillId="0" borderId="0" xfId="0" applyFont="1" applyAlignment="1">
      <alignment horizontal="left" vertical="center"/>
    </xf>
    <xf numFmtId="168" fontId="31" fillId="0" borderId="0" xfId="7" applyNumberFormat="1" applyFont="1" applyBorder="1" applyAlignment="1">
      <alignment horizontal="center" vertical="center"/>
    </xf>
    <xf numFmtId="0" fontId="31" fillId="0" borderId="0" xfId="0" applyFont="1" applyAlignment="1">
      <alignment horizontal="center" vertical="center" wrapText="1"/>
    </xf>
    <xf numFmtId="168" fontId="3" fillId="0" borderId="6" xfId="1" applyNumberFormat="1" applyFont="1" applyBorder="1" applyAlignment="1">
      <alignment horizontal="center" wrapText="1"/>
    </xf>
    <xf numFmtId="168" fontId="3" fillId="0" borderId="6" xfId="1" applyNumberFormat="1" applyFont="1" applyBorder="1" applyAlignment="1">
      <alignment horizontal="center"/>
    </xf>
    <xf numFmtId="0" fontId="13" fillId="3" borderId="6" xfId="0" applyFont="1" applyFill="1" applyBorder="1" applyAlignment="1">
      <alignment horizontal="left" vertical="center" wrapText="1"/>
    </xf>
    <xf numFmtId="1" fontId="4" fillId="0" borderId="0" xfId="0" applyNumberFormat="1" applyFont="1" applyAlignment="1">
      <alignment horizontal="center"/>
    </xf>
    <xf numFmtId="0" fontId="4" fillId="0" borderId="0" xfId="0" applyFont="1"/>
    <xf numFmtId="165" fontId="4" fillId="0" borderId="0" xfId="0" applyNumberFormat="1" applyFont="1"/>
    <xf numFmtId="165" fontId="19" fillId="2" borderId="6" xfId="7" applyNumberFormat="1" applyFont="1" applyFill="1" applyBorder="1" applyAlignment="1">
      <alignment horizontal="center" vertical="center" wrapText="1"/>
    </xf>
    <xf numFmtId="0" fontId="20" fillId="0" borderId="0" xfId="0" applyFont="1" applyAlignment="1">
      <alignment vertical="center"/>
    </xf>
    <xf numFmtId="1" fontId="19" fillId="2" borderId="6" xfId="10" applyNumberFormat="1" applyFont="1" applyFill="1" applyBorder="1" applyAlignment="1">
      <alignment horizontal="center" vertical="center" wrapText="1"/>
    </xf>
    <xf numFmtId="0" fontId="19" fillId="2" borderId="6" xfId="10" applyFont="1" applyFill="1" applyBorder="1" applyAlignment="1">
      <alignment horizontal="left" vertical="center" wrapText="1"/>
    </xf>
    <xf numFmtId="165" fontId="19" fillId="2" borderId="6" xfId="7" applyNumberFormat="1" applyFont="1" applyFill="1" applyBorder="1" applyAlignment="1">
      <alignment horizontal="right" vertical="center" wrapText="1"/>
    </xf>
    <xf numFmtId="0" fontId="19" fillId="2" borderId="6" xfId="9" applyFont="1" applyFill="1" applyBorder="1" applyAlignment="1">
      <alignment horizontal="center" vertical="center"/>
    </xf>
    <xf numFmtId="0" fontId="18" fillId="0" borderId="0" xfId="0" applyFont="1" applyAlignment="1">
      <alignment vertical="center"/>
    </xf>
    <xf numFmtId="1" fontId="17" fillId="2" borderId="6" xfId="10" applyNumberFormat="1" applyFont="1" applyFill="1" applyBorder="1" applyAlignment="1">
      <alignment horizontal="center" vertical="center" wrapText="1"/>
    </xf>
    <xf numFmtId="165" fontId="17" fillId="2" borderId="6" xfId="7" applyNumberFormat="1" applyFont="1" applyFill="1" applyBorder="1" applyAlignment="1">
      <alignment vertical="center" wrapText="1"/>
    </xf>
    <xf numFmtId="165" fontId="17" fillId="2" borderId="6" xfId="7" applyNumberFormat="1" applyFont="1" applyFill="1" applyBorder="1" applyAlignment="1">
      <alignment vertical="center"/>
    </xf>
    <xf numFmtId="165" fontId="17" fillId="2" borderId="6" xfId="7" applyNumberFormat="1" applyFont="1" applyFill="1" applyBorder="1" applyAlignment="1">
      <alignment horizontal="right" vertical="center" wrapText="1"/>
    </xf>
    <xf numFmtId="0" fontId="17" fillId="2" borderId="6" xfId="9" applyFont="1" applyFill="1" applyBorder="1" applyAlignment="1">
      <alignment horizontal="center" vertical="center"/>
    </xf>
    <xf numFmtId="0" fontId="17" fillId="2" borderId="6" xfId="0" applyFont="1" applyFill="1" applyBorder="1" applyAlignment="1">
      <alignment vertical="center" wrapText="1"/>
    </xf>
    <xf numFmtId="165" fontId="17" fillId="2" borderId="5" xfId="7" applyNumberFormat="1" applyFont="1" applyFill="1" applyBorder="1" applyAlignment="1">
      <alignment vertical="center" wrapText="1"/>
    </xf>
    <xf numFmtId="165" fontId="17" fillId="2" borderId="5" xfId="7" applyNumberFormat="1" applyFont="1" applyFill="1" applyBorder="1" applyAlignment="1">
      <alignment vertical="center"/>
    </xf>
    <xf numFmtId="165" fontId="19" fillId="2" borderId="6" xfId="7" applyNumberFormat="1" applyFont="1" applyFill="1" applyBorder="1" applyAlignment="1">
      <alignment vertical="center" wrapText="1"/>
    </xf>
    <xf numFmtId="165" fontId="19" fillId="2" borderId="6" xfId="7" applyNumberFormat="1" applyFont="1" applyFill="1" applyBorder="1" applyAlignment="1">
      <alignment vertical="center"/>
    </xf>
    <xf numFmtId="165" fontId="17" fillId="2" borderId="1" xfId="7" applyNumberFormat="1" applyFont="1" applyFill="1" applyBorder="1" applyAlignment="1">
      <alignment vertical="center" wrapText="1"/>
    </xf>
    <xf numFmtId="165" fontId="17" fillId="2" borderId="1" xfId="7" applyNumberFormat="1" applyFont="1" applyFill="1" applyBorder="1" applyAlignment="1">
      <alignment vertical="center"/>
    </xf>
    <xf numFmtId="0" fontId="17" fillId="2" borderId="6" xfId="0" applyFont="1" applyFill="1" applyBorder="1" applyAlignment="1">
      <alignment horizontal="justify" vertical="center" wrapText="1"/>
    </xf>
    <xf numFmtId="165" fontId="17" fillId="2" borderId="6" xfId="7" applyNumberFormat="1" applyFont="1" applyFill="1" applyBorder="1" applyAlignment="1">
      <alignment horizontal="center" vertical="center" wrapText="1"/>
    </xf>
    <xf numFmtId="0" fontId="19" fillId="2" borderId="6" xfId="0" applyFont="1" applyFill="1" applyBorder="1" applyAlignment="1">
      <alignment horizontal="justify" vertical="center" wrapText="1"/>
    </xf>
    <xf numFmtId="166" fontId="17" fillId="2" borderId="6" xfId="0" applyNumberFormat="1" applyFont="1" applyFill="1" applyBorder="1" applyAlignment="1">
      <alignment horizontal="justify" vertical="center" wrapText="1"/>
    </xf>
    <xf numFmtId="166" fontId="19" fillId="2" borderId="6" xfId="0" applyNumberFormat="1" applyFont="1" applyFill="1" applyBorder="1" applyAlignment="1">
      <alignment horizontal="justify" vertical="center" wrapText="1"/>
    </xf>
    <xf numFmtId="0" fontId="12" fillId="0" borderId="0" xfId="0" applyFont="1" applyAlignment="1">
      <alignment vertical="center"/>
    </xf>
    <xf numFmtId="0" fontId="20" fillId="2" borderId="0" xfId="0" applyFont="1" applyFill="1"/>
    <xf numFmtId="0" fontId="12" fillId="2" borderId="0" xfId="0" applyFont="1" applyFill="1" applyAlignment="1">
      <alignment horizontal="center" vertical="center"/>
    </xf>
    <xf numFmtId="0" fontId="20" fillId="2" borderId="0" xfId="0" applyFont="1" applyFill="1" applyAlignment="1">
      <alignment horizontal="center"/>
    </xf>
    <xf numFmtId="165" fontId="20" fillId="2" borderId="0" xfId="1" applyNumberFormat="1" applyFont="1" applyFill="1"/>
    <xf numFmtId="165" fontId="21" fillId="2" borderId="0" xfId="1" applyNumberFormat="1" applyFont="1" applyFill="1" applyAlignment="1">
      <alignment horizontal="center"/>
    </xf>
    <xf numFmtId="0" fontId="18" fillId="2" borderId="6" xfId="0" applyFont="1" applyFill="1" applyBorder="1" applyAlignment="1">
      <alignment horizontal="center"/>
    </xf>
    <xf numFmtId="165" fontId="18" fillId="2" borderId="6" xfId="1" applyNumberFormat="1" applyFont="1" applyFill="1" applyBorder="1" applyAlignment="1">
      <alignment horizontal="center"/>
    </xf>
    <xf numFmtId="0" fontId="18" fillId="2" borderId="6" xfId="0" applyFont="1" applyFill="1" applyBorder="1" applyAlignment="1">
      <alignment horizontal="center" vertical="center"/>
    </xf>
    <xf numFmtId="0" fontId="18" fillId="2" borderId="6" xfId="0" applyFont="1" applyFill="1" applyBorder="1" applyAlignment="1">
      <alignment vertical="center"/>
    </xf>
    <xf numFmtId="165" fontId="18" fillId="2" borderId="6" xfId="1" applyNumberFormat="1" applyFont="1" applyFill="1" applyBorder="1" applyAlignment="1">
      <alignment vertical="center"/>
    </xf>
    <xf numFmtId="0" fontId="20" fillId="2" borderId="6" xfId="0" applyFont="1" applyFill="1" applyBorder="1"/>
    <xf numFmtId="0" fontId="19" fillId="2" borderId="6" xfId="0" applyFont="1" applyFill="1" applyBorder="1" applyAlignment="1">
      <alignment horizontal="center" vertical="center"/>
    </xf>
    <xf numFmtId="165" fontId="19" fillId="2" borderId="6" xfId="1" applyNumberFormat="1" applyFont="1" applyFill="1" applyBorder="1" applyAlignment="1">
      <alignment vertical="center"/>
    </xf>
    <xf numFmtId="0" fontId="20" fillId="2" borderId="6" xfId="0" applyFont="1" applyFill="1" applyBorder="1" applyAlignment="1">
      <alignment horizontal="center" vertical="center"/>
    </xf>
    <xf numFmtId="0" fontId="17" fillId="2" borderId="6" xfId="0" applyFont="1" applyFill="1" applyBorder="1" applyAlignment="1">
      <alignment horizontal="center" vertical="center"/>
    </xf>
    <xf numFmtId="165" fontId="17" fillId="2" borderId="6" xfId="1" applyNumberFormat="1" applyFont="1" applyFill="1" applyBorder="1" applyAlignment="1">
      <alignment vertical="center"/>
    </xf>
    <xf numFmtId="3" fontId="17" fillId="2" borderId="6" xfId="0" applyNumberFormat="1" applyFont="1" applyFill="1" applyBorder="1" applyAlignment="1">
      <alignment vertical="center"/>
    </xf>
    <xf numFmtId="3" fontId="17" fillId="2" borderId="6" xfId="0" applyNumberFormat="1" applyFont="1" applyFill="1" applyBorder="1" applyAlignment="1">
      <alignment horizontal="right" vertical="center" wrapText="1"/>
    </xf>
    <xf numFmtId="0" fontId="17" fillId="2" borderId="6" xfId="0" applyFont="1" applyFill="1" applyBorder="1" applyAlignment="1">
      <alignment vertical="center"/>
    </xf>
    <xf numFmtId="0" fontId="17" fillId="2" borderId="6" xfId="0" applyFont="1" applyFill="1" applyBorder="1" applyAlignment="1">
      <alignment horizontal="center"/>
    </xf>
    <xf numFmtId="0" fontId="20" fillId="2" borderId="6" xfId="0" applyFont="1" applyFill="1" applyBorder="1" applyAlignment="1">
      <alignment horizontal="center"/>
    </xf>
    <xf numFmtId="0" fontId="20" fillId="2" borderId="6" xfId="0" applyFont="1" applyFill="1" applyBorder="1" applyAlignment="1">
      <alignment vertical="center" wrapText="1"/>
    </xf>
    <xf numFmtId="165" fontId="20" fillId="2" borderId="6" xfId="1" applyNumberFormat="1" applyFont="1" applyFill="1" applyBorder="1" applyAlignment="1">
      <alignment vertical="center"/>
    </xf>
    <xf numFmtId="0" fontId="27" fillId="0" borderId="0" xfId="0" applyFont="1" applyAlignment="1">
      <alignment horizontal="center" vertical="center" wrapText="1"/>
    </xf>
    <xf numFmtId="0" fontId="12" fillId="0" borderId="0" xfId="0" applyFont="1" applyAlignment="1">
      <alignment horizontal="center" vertical="center"/>
    </xf>
    <xf numFmtId="0" fontId="29" fillId="0" borderId="7" xfId="0" applyFont="1" applyBorder="1" applyAlignment="1">
      <alignment horizontal="right" vertical="center" wrapText="1"/>
    </xf>
    <xf numFmtId="0" fontId="19" fillId="0" borderId="0" xfId="0" applyFont="1" applyAlignment="1">
      <alignment horizontal="center"/>
    </xf>
    <xf numFmtId="0" fontId="7" fillId="0" borderId="7" xfId="0" applyFont="1" applyBorder="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12" fillId="0" borderId="2" xfId="0" applyFont="1" applyBorder="1" applyAlignment="1">
      <alignment horizontal="left" vertical="top" wrapText="1"/>
    </xf>
    <xf numFmtId="0" fontId="12" fillId="0" borderId="4" xfId="0" applyFont="1" applyBorder="1" applyAlignment="1">
      <alignment horizontal="left" vertical="top" wrapText="1"/>
    </xf>
    <xf numFmtId="0" fontId="32" fillId="0" borderId="2" xfId="0" applyFont="1" applyBorder="1" applyAlignment="1">
      <alignment horizontal="left" vertical="center"/>
    </xf>
    <xf numFmtId="0" fontId="32" fillId="0" borderId="4" xfId="0" applyFont="1" applyBorder="1" applyAlignment="1">
      <alignment horizontal="left" vertical="center"/>
    </xf>
    <xf numFmtId="0" fontId="2" fillId="2" borderId="6" xfId="0" applyFont="1" applyFill="1" applyBorder="1" applyAlignment="1">
      <alignment horizontal="left" vertical="center" wrapText="1"/>
    </xf>
    <xf numFmtId="0" fontId="2" fillId="0" borderId="6" xfId="0" applyFont="1" applyBorder="1" applyAlignment="1">
      <alignment horizontal="left" vertical="center" wrapText="1"/>
    </xf>
    <xf numFmtId="0" fontId="11" fillId="0" borderId="6" xfId="0" applyFont="1" applyBorder="1" applyAlignment="1">
      <alignment horizontal="left" vertical="center"/>
    </xf>
    <xf numFmtId="0" fontId="12" fillId="0" borderId="6" xfId="0" applyFont="1" applyBorder="1" applyAlignment="1">
      <alignment horizontal="left" vertical="center" wrapText="1"/>
    </xf>
    <xf numFmtId="0" fontId="23" fillId="0" borderId="0" xfId="0" applyFont="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horizontal="left" wrapText="1"/>
    </xf>
    <xf numFmtId="0" fontId="2" fillId="0" borderId="6" xfId="0" applyFont="1" applyBorder="1" applyAlignment="1">
      <alignment horizontal="left"/>
    </xf>
    <xf numFmtId="167" fontId="3" fillId="0" borderId="6" xfId="3" applyNumberFormat="1" applyFont="1" applyBorder="1" applyAlignment="1">
      <alignment horizontal="center" vertical="center" wrapText="1"/>
    </xf>
    <xf numFmtId="165" fontId="19" fillId="2" borderId="1" xfId="7" applyNumberFormat="1" applyFont="1" applyFill="1" applyBorder="1" applyAlignment="1">
      <alignment horizontal="center" vertical="center" wrapText="1"/>
    </xf>
    <xf numFmtId="165" fontId="19" fillId="2" borderId="5" xfId="7" applyNumberFormat="1" applyFont="1" applyFill="1" applyBorder="1" applyAlignment="1">
      <alignment horizontal="center" vertical="center" wrapText="1"/>
    </xf>
    <xf numFmtId="0" fontId="26" fillId="0" borderId="0" xfId="0" applyFont="1" applyAlignment="1">
      <alignment horizontal="center" vertical="center" wrapText="1"/>
    </xf>
    <xf numFmtId="0" fontId="24" fillId="0" borderId="7" xfId="0" applyFont="1" applyBorder="1" applyAlignment="1">
      <alignment horizontal="center"/>
    </xf>
    <xf numFmtId="165" fontId="19" fillId="2" borderId="8" xfId="7" applyNumberFormat="1" applyFont="1" applyFill="1" applyBorder="1" applyAlignment="1">
      <alignment horizontal="center" vertical="center" wrapText="1"/>
    </xf>
    <xf numFmtId="0" fontId="19" fillId="2" borderId="1" xfId="9" applyFont="1" applyFill="1" applyBorder="1" applyAlignment="1">
      <alignment horizontal="center" vertical="center"/>
    </xf>
    <xf numFmtId="0" fontId="19" fillId="2" borderId="8" xfId="9" applyFont="1" applyFill="1" applyBorder="1" applyAlignment="1">
      <alignment horizontal="center" vertical="center"/>
    </xf>
    <xf numFmtId="0" fontId="19" fillId="2" borderId="5" xfId="9" applyFont="1" applyFill="1" applyBorder="1" applyAlignment="1">
      <alignment horizontal="center" vertical="center"/>
    </xf>
    <xf numFmtId="0" fontId="19" fillId="2" borderId="8"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19" fillId="2" borderId="4" xfId="9" applyFont="1" applyFill="1" applyBorder="1" applyAlignment="1">
      <alignment horizontal="center" vertical="center" wrapText="1"/>
    </xf>
    <xf numFmtId="1" fontId="19" fillId="2" borderId="1" xfId="9" applyNumberFormat="1" applyFont="1" applyFill="1" applyBorder="1" applyAlignment="1">
      <alignment horizontal="center" vertical="center"/>
    </xf>
    <xf numFmtId="1" fontId="19" fillId="2" borderId="8" xfId="9" applyNumberFormat="1" applyFont="1" applyFill="1" applyBorder="1" applyAlignment="1">
      <alignment horizontal="center" vertical="center"/>
    </xf>
    <xf numFmtId="1" fontId="19" fillId="2" borderId="5" xfId="9" applyNumberFormat="1" applyFont="1" applyFill="1" applyBorder="1" applyAlignment="1">
      <alignment horizontal="center" vertical="center"/>
    </xf>
    <xf numFmtId="165" fontId="19" fillId="2" borderId="6" xfId="7" applyNumberFormat="1" applyFont="1" applyFill="1" applyBorder="1" applyAlignment="1">
      <alignment horizontal="center" vertical="center" wrapText="1"/>
    </xf>
    <xf numFmtId="0" fontId="18" fillId="2" borderId="0" xfId="0" applyFont="1" applyFill="1" applyAlignment="1">
      <alignment horizontal="center"/>
    </xf>
    <xf numFmtId="165" fontId="17" fillId="2" borderId="6" xfId="1" applyNumberFormat="1" applyFont="1" applyFill="1" applyBorder="1" applyAlignment="1">
      <alignment horizontal="center" vertical="center"/>
    </xf>
    <xf numFmtId="0" fontId="23" fillId="2" borderId="0" xfId="0" applyFont="1" applyFill="1" applyAlignment="1">
      <alignment horizontal="center" vertical="center" wrapText="1"/>
    </xf>
    <xf numFmtId="0" fontId="33" fillId="2" borderId="6" xfId="0" applyFont="1" applyFill="1" applyBorder="1" applyAlignment="1">
      <alignment horizontal="center" vertical="center"/>
    </xf>
    <xf numFmtId="0" fontId="33" fillId="2" borderId="6" xfId="0" applyFont="1" applyFill="1" applyBorder="1" applyAlignment="1">
      <alignment horizontal="left" vertical="center" wrapText="1"/>
    </xf>
    <xf numFmtId="165" fontId="33" fillId="2" borderId="6" xfId="1" applyNumberFormat="1" applyFont="1" applyFill="1" applyBorder="1" applyAlignment="1">
      <alignment vertical="center"/>
    </xf>
    <xf numFmtId="0" fontId="34" fillId="2" borderId="6" xfId="0" applyFont="1" applyFill="1" applyBorder="1" applyAlignment="1">
      <alignment horizontal="center" vertical="center"/>
    </xf>
    <xf numFmtId="0" fontId="34" fillId="2" borderId="0" xfId="0" applyFont="1" applyFill="1"/>
    <xf numFmtId="0" fontId="34" fillId="2" borderId="6" xfId="0" applyFont="1" applyFill="1" applyBorder="1" applyAlignment="1">
      <alignment vertical="center" wrapText="1"/>
    </xf>
    <xf numFmtId="165" fontId="34" fillId="2" borderId="6" xfId="1" applyNumberFormat="1" applyFont="1" applyFill="1" applyBorder="1" applyAlignment="1">
      <alignment vertical="center"/>
    </xf>
    <xf numFmtId="0" fontId="34" fillId="2" borderId="6" xfId="0" applyFont="1" applyFill="1" applyBorder="1"/>
    <xf numFmtId="0" fontId="33" fillId="2" borderId="6" xfId="0" applyFont="1" applyFill="1" applyBorder="1" applyAlignment="1">
      <alignment vertical="center" wrapText="1"/>
    </xf>
    <xf numFmtId="3" fontId="34" fillId="2" borderId="6" xfId="0" applyNumberFormat="1" applyFont="1" applyFill="1" applyBorder="1" applyAlignment="1">
      <alignment horizontal="right" vertical="center" wrapText="1"/>
    </xf>
    <xf numFmtId="3" fontId="34" fillId="2" borderId="6" xfId="1" applyNumberFormat="1" applyFont="1" applyFill="1" applyBorder="1" applyAlignment="1">
      <alignment vertical="center"/>
    </xf>
    <xf numFmtId="3" fontId="34" fillId="5" borderId="6" xfId="0" applyNumberFormat="1" applyFont="1" applyFill="1" applyBorder="1" applyAlignment="1">
      <alignment vertical="center" wrapText="1"/>
    </xf>
    <xf numFmtId="3" fontId="34" fillId="2" borderId="6" xfId="0" applyNumberFormat="1" applyFont="1" applyFill="1" applyBorder="1" applyAlignment="1">
      <alignment vertical="center"/>
    </xf>
  </cellXfs>
  <cellStyles count="11">
    <cellStyle name="Comma" xfId="1" builtinId="3"/>
    <cellStyle name="Comma 2" xfId="3" xr:uid="{00000000-0005-0000-0000-000001000000}"/>
    <cellStyle name="Comma 2 12" xfId="7" xr:uid="{00000000-0005-0000-0000-000002000000}"/>
    <cellStyle name="Ledger 17 x 11 in" xfId="10" xr:uid="{00000000-0005-0000-0000-000003000000}"/>
    <cellStyle name="Normal" xfId="0" builtinId="0"/>
    <cellStyle name="Normal 2" xfId="2" xr:uid="{00000000-0005-0000-0000-000005000000}"/>
    <cellStyle name="Normal 2 2" xfId="5" xr:uid="{00000000-0005-0000-0000-000006000000}"/>
    <cellStyle name="Normal 3" xfId="9" xr:uid="{00000000-0005-0000-0000-000007000000}"/>
    <cellStyle name="Normal 52" xfId="6" xr:uid="{00000000-0005-0000-0000-000008000000}"/>
    <cellStyle name="Normal 8" xfId="8" xr:uid="{00000000-0005-0000-0000-000009000000}"/>
    <cellStyle name="Normal 9" xfId="4"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792480</xdr:colOff>
      <xdr:row>2</xdr:row>
      <xdr:rowOff>0</xdr:rowOff>
    </xdr:from>
    <xdr:to>
      <xdr:col>1</xdr:col>
      <xdr:colOff>1287780</xdr:colOff>
      <xdr:row>2</xdr:row>
      <xdr:rowOff>0</xdr:rowOff>
    </xdr:to>
    <xdr:cxnSp macro="">
      <xdr:nvCxnSpPr>
        <xdr:cNvPr id="3" name="Straight Connector 2">
          <a:extLst>
            <a:ext uri="{FF2B5EF4-FFF2-40B4-BE49-F238E27FC236}">
              <a16:creationId xmlns:a16="http://schemas.microsoft.com/office/drawing/2014/main" id="{12A00E4E-9EF3-40BB-90A6-6183834C94A5}"/>
            </a:ext>
          </a:extLst>
        </xdr:cNvPr>
        <xdr:cNvCxnSpPr/>
      </xdr:nvCxnSpPr>
      <xdr:spPr>
        <a:xfrm>
          <a:off x="1120140" y="396240"/>
          <a:ext cx="4953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1653540</xdr:colOff>
      <xdr:row>1</xdr:row>
      <xdr:rowOff>205740</xdr:rowOff>
    </xdr:from>
    <xdr:to>
      <xdr:col>1</xdr:col>
      <xdr:colOff>2217420</xdr:colOff>
      <xdr:row>2</xdr:row>
      <xdr:rowOff>0</xdr:rowOff>
    </xdr:to>
    <xdr:cxnSp macro="">
      <xdr:nvCxnSpPr>
        <xdr:cNvPr id="3" name="Straight Connector 2">
          <a:extLst>
            <a:ext uri="{FF2B5EF4-FFF2-40B4-BE49-F238E27FC236}">
              <a16:creationId xmlns:a16="http://schemas.microsoft.com/office/drawing/2014/main" id="{C0B216D0-E626-5420-7216-0DA5F4EF3026}"/>
            </a:ext>
          </a:extLst>
        </xdr:cNvPr>
        <xdr:cNvCxnSpPr/>
      </xdr:nvCxnSpPr>
      <xdr:spPr>
        <a:xfrm flipV="1">
          <a:off x="2049780" y="419100"/>
          <a:ext cx="563880" cy="7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1043940</xdr:colOff>
      <xdr:row>2</xdr:row>
      <xdr:rowOff>0</xdr:rowOff>
    </xdr:from>
    <xdr:to>
      <xdr:col>1</xdr:col>
      <xdr:colOff>1661160</xdr:colOff>
      <xdr:row>2</xdr:row>
      <xdr:rowOff>0</xdr:rowOff>
    </xdr:to>
    <xdr:cxnSp macro="">
      <xdr:nvCxnSpPr>
        <xdr:cNvPr id="3" name="Straight Connector 2">
          <a:extLst>
            <a:ext uri="{FF2B5EF4-FFF2-40B4-BE49-F238E27FC236}">
              <a16:creationId xmlns:a16="http://schemas.microsoft.com/office/drawing/2014/main" id="{2A650517-2CCA-4009-E8CF-4C73B86694D2}"/>
            </a:ext>
          </a:extLst>
        </xdr:cNvPr>
        <xdr:cNvCxnSpPr/>
      </xdr:nvCxnSpPr>
      <xdr:spPr>
        <a:xfrm>
          <a:off x="1524000" y="396240"/>
          <a:ext cx="6172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1234440</xdr:colOff>
      <xdr:row>2</xdr:row>
      <xdr:rowOff>0</xdr:rowOff>
    </xdr:from>
    <xdr:to>
      <xdr:col>1</xdr:col>
      <xdr:colOff>1844040</xdr:colOff>
      <xdr:row>2</xdr:row>
      <xdr:rowOff>7620</xdr:rowOff>
    </xdr:to>
    <xdr:cxnSp macro="">
      <xdr:nvCxnSpPr>
        <xdr:cNvPr id="3" name="Straight Connector 2">
          <a:extLst>
            <a:ext uri="{FF2B5EF4-FFF2-40B4-BE49-F238E27FC236}">
              <a16:creationId xmlns:a16="http://schemas.microsoft.com/office/drawing/2014/main" id="{1AB763A6-6509-5B1B-095F-3883895D1ADB}"/>
            </a:ext>
          </a:extLst>
        </xdr:cNvPr>
        <xdr:cNvCxnSpPr/>
      </xdr:nvCxnSpPr>
      <xdr:spPr>
        <a:xfrm flipV="1">
          <a:off x="1661160" y="396240"/>
          <a:ext cx="609600" cy="7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1127760</xdr:colOff>
      <xdr:row>2</xdr:row>
      <xdr:rowOff>15240</xdr:rowOff>
    </xdr:from>
    <xdr:to>
      <xdr:col>1</xdr:col>
      <xdr:colOff>1714500</xdr:colOff>
      <xdr:row>2</xdr:row>
      <xdr:rowOff>15240</xdr:rowOff>
    </xdr:to>
    <xdr:cxnSp macro="">
      <xdr:nvCxnSpPr>
        <xdr:cNvPr id="3" name="Straight Connector 2">
          <a:extLst>
            <a:ext uri="{FF2B5EF4-FFF2-40B4-BE49-F238E27FC236}">
              <a16:creationId xmlns:a16="http://schemas.microsoft.com/office/drawing/2014/main" id="{CB3B1167-06AD-21DA-C5F4-0B9EAFE1AAB1}"/>
            </a:ext>
          </a:extLst>
        </xdr:cNvPr>
        <xdr:cNvCxnSpPr/>
      </xdr:nvCxnSpPr>
      <xdr:spPr>
        <a:xfrm>
          <a:off x="1485900" y="411480"/>
          <a:ext cx="58674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dvc.vst.mof.gov.vn/frontend/faces/ThietLapDvqhns?_adf.ctrl-state=13dymt3jce_14&amp;_afrLoop=47191485480251488" TargetMode="External"/><Relationship Id="rId1" Type="http://schemas.openxmlformats.org/officeDocument/2006/relationships/hyperlink" Target="https://dvc.vst.mof.gov.vn/frontend/faces/ThietLapDvqhns?_adf.ctrl-state=13dymt3jce_14&amp;_afrLoop=47191485480251488"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
  <sheetViews>
    <sheetView workbookViewId="0">
      <selection activeCell="A4" sqref="A4:E4"/>
    </sheetView>
  </sheetViews>
  <sheetFormatPr defaultRowHeight="14.4" x14ac:dyDescent="0.3"/>
  <cols>
    <col min="1" max="1" width="4.77734375" style="78" customWidth="1"/>
    <col min="2" max="2" width="31.109375" style="78" customWidth="1"/>
    <col min="3" max="3" width="31.44140625" style="78" customWidth="1"/>
    <col min="4" max="4" width="16.77734375" style="78" customWidth="1"/>
    <col min="5" max="5" width="12.77734375" style="78" customWidth="1"/>
    <col min="6" max="16384" width="8.88671875" style="78"/>
  </cols>
  <sheetData>
    <row r="1" spans="1:5" ht="15.6" x14ac:dyDescent="0.3">
      <c r="A1" s="75"/>
      <c r="B1" s="76" t="s">
        <v>306</v>
      </c>
      <c r="C1" s="75"/>
      <c r="D1" s="155"/>
      <c r="E1" s="155"/>
    </row>
    <row r="2" spans="1:5" ht="15.6" x14ac:dyDescent="0.3">
      <c r="A2" s="75"/>
      <c r="B2" s="76" t="s">
        <v>307</v>
      </c>
      <c r="C2" s="75"/>
      <c r="D2" s="77"/>
      <c r="E2" s="77"/>
    </row>
    <row r="3" spans="1:5" ht="15.6" x14ac:dyDescent="0.3">
      <c r="A3" s="75"/>
      <c r="B3" s="76"/>
      <c r="C3" s="75"/>
      <c r="D3" s="77"/>
      <c r="E3" s="77"/>
    </row>
    <row r="4" spans="1:5" ht="15.6" x14ac:dyDescent="0.3">
      <c r="A4" s="156" t="s">
        <v>312</v>
      </c>
      <c r="B4" s="156"/>
      <c r="C4" s="156"/>
      <c r="D4" s="156"/>
      <c r="E4" s="156"/>
    </row>
    <row r="5" spans="1:5" ht="15.6" x14ac:dyDescent="0.3">
      <c r="A5" s="155"/>
      <c r="B5" s="155"/>
      <c r="C5" s="155"/>
      <c r="D5" s="155"/>
      <c r="E5" s="155"/>
    </row>
    <row r="6" spans="1:5" ht="16.8" x14ac:dyDescent="0.3">
      <c r="A6" s="75"/>
      <c r="B6" s="75"/>
      <c r="C6" s="75"/>
      <c r="D6" s="157" t="s">
        <v>309</v>
      </c>
      <c r="E6" s="157"/>
    </row>
    <row r="7" spans="1:5" s="83" customFormat="1" ht="18.600000000000001" customHeight="1" x14ac:dyDescent="0.3">
      <c r="A7" s="45" t="s">
        <v>7</v>
      </c>
      <c r="B7" s="45" t="s">
        <v>8</v>
      </c>
      <c r="C7" s="45" t="s">
        <v>1</v>
      </c>
      <c r="D7" s="45" t="s">
        <v>4</v>
      </c>
      <c r="E7" s="79" t="s">
        <v>5</v>
      </c>
    </row>
    <row r="8" spans="1:5" s="83" customFormat="1" ht="18.600000000000001" customHeight="1" x14ac:dyDescent="0.3">
      <c r="A8" s="45" t="s">
        <v>2</v>
      </c>
      <c r="B8" s="80" t="s">
        <v>247</v>
      </c>
      <c r="C8" s="45"/>
      <c r="D8" s="81">
        <f>D9+D22+D38+D45+D49+D53+D58</f>
        <v>440205400</v>
      </c>
      <c r="E8" s="79"/>
    </row>
    <row r="9" spans="1:5" s="83" customFormat="1" ht="18.600000000000001" customHeight="1" x14ac:dyDescent="0.3">
      <c r="A9" s="45">
        <v>1</v>
      </c>
      <c r="B9" s="56" t="s">
        <v>248</v>
      </c>
      <c r="C9" s="18"/>
      <c r="D9" s="81">
        <f>SUM(D10:D21)</f>
        <v>28344200</v>
      </c>
      <c r="E9" s="18"/>
    </row>
    <row r="10" spans="1:5" s="83" customFormat="1" ht="18.600000000000001" customHeight="1" x14ac:dyDescent="0.3">
      <c r="A10" s="45"/>
      <c r="B10" s="28" t="s">
        <v>249</v>
      </c>
      <c r="C10" s="26" t="s">
        <v>250</v>
      </c>
      <c r="D10" s="34">
        <v>2360000</v>
      </c>
      <c r="E10" s="18"/>
    </row>
    <row r="11" spans="1:5" s="83" customFormat="1" ht="18.600000000000001" customHeight="1" x14ac:dyDescent="0.3">
      <c r="A11" s="45"/>
      <c r="B11" s="28" t="s">
        <v>251</v>
      </c>
      <c r="C11" s="26" t="s">
        <v>250</v>
      </c>
      <c r="D11" s="34">
        <v>1000000</v>
      </c>
      <c r="E11" s="18"/>
    </row>
    <row r="12" spans="1:5" s="83" customFormat="1" ht="18.600000000000001" customHeight="1" x14ac:dyDescent="0.3">
      <c r="A12" s="45"/>
      <c r="B12" s="28" t="s">
        <v>252</v>
      </c>
      <c r="C12" s="26" t="s">
        <v>250</v>
      </c>
      <c r="D12" s="34">
        <v>2000000</v>
      </c>
      <c r="E12" s="18"/>
    </row>
    <row r="13" spans="1:5" s="83" customFormat="1" ht="18.600000000000001" customHeight="1" x14ac:dyDescent="0.3">
      <c r="A13" s="45"/>
      <c r="B13" s="28" t="s">
        <v>253</v>
      </c>
      <c r="C13" s="26" t="s">
        <v>250</v>
      </c>
      <c r="D13" s="34">
        <v>1732000</v>
      </c>
      <c r="E13" s="18"/>
    </row>
    <row r="14" spans="1:5" s="83" customFormat="1" ht="18.600000000000001" customHeight="1" x14ac:dyDescent="0.3">
      <c r="A14" s="45"/>
      <c r="B14" s="28" t="s">
        <v>254</v>
      </c>
      <c r="C14" s="26" t="s">
        <v>250</v>
      </c>
      <c r="D14" s="34">
        <v>2240000</v>
      </c>
      <c r="E14" s="18"/>
    </row>
    <row r="15" spans="1:5" s="83" customFormat="1" ht="18.600000000000001" customHeight="1" x14ac:dyDescent="0.3">
      <c r="A15" s="45"/>
      <c r="B15" s="28" t="s">
        <v>255</v>
      </c>
      <c r="C15" s="26" t="s">
        <v>250</v>
      </c>
      <c r="D15" s="34">
        <v>7000000</v>
      </c>
      <c r="E15" s="18"/>
    </row>
    <row r="16" spans="1:5" s="83" customFormat="1" ht="18.600000000000001" customHeight="1" x14ac:dyDescent="0.3">
      <c r="A16" s="45"/>
      <c r="B16" s="28" t="s">
        <v>256</v>
      </c>
      <c r="C16" s="26" t="s">
        <v>250</v>
      </c>
      <c r="D16" s="34">
        <v>3000000</v>
      </c>
      <c r="E16" s="18"/>
    </row>
    <row r="17" spans="1:5" s="83" customFormat="1" ht="18.600000000000001" customHeight="1" x14ac:dyDescent="0.3">
      <c r="A17" s="45"/>
      <c r="B17" s="28" t="s">
        <v>257</v>
      </c>
      <c r="C17" s="26" t="s">
        <v>250</v>
      </c>
      <c r="D17" s="34">
        <v>975000</v>
      </c>
      <c r="E17" s="18"/>
    </row>
    <row r="18" spans="1:5" s="83" customFormat="1" ht="18.600000000000001" customHeight="1" x14ac:dyDescent="0.3">
      <c r="A18" s="45"/>
      <c r="B18" s="28" t="s">
        <v>258</v>
      </c>
      <c r="C18" s="26" t="s">
        <v>250</v>
      </c>
      <c r="D18" s="34">
        <v>1500000</v>
      </c>
      <c r="E18" s="18"/>
    </row>
    <row r="19" spans="1:5" s="83" customFormat="1" ht="18.600000000000001" customHeight="1" x14ac:dyDescent="0.3">
      <c r="A19" s="45"/>
      <c r="B19" s="28" t="s">
        <v>259</v>
      </c>
      <c r="C19" s="26" t="s">
        <v>250</v>
      </c>
      <c r="D19" s="34">
        <v>2050000</v>
      </c>
      <c r="E19" s="18"/>
    </row>
    <row r="20" spans="1:5" s="83" customFormat="1" ht="18.600000000000001" customHeight="1" x14ac:dyDescent="0.3">
      <c r="A20" s="45"/>
      <c r="B20" s="28" t="s">
        <v>260</v>
      </c>
      <c r="C20" s="26" t="s">
        <v>250</v>
      </c>
      <c r="D20" s="34">
        <v>2000000</v>
      </c>
      <c r="E20" s="18"/>
    </row>
    <row r="21" spans="1:5" s="83" customFormat="1" ht="18.600000000000001" customHeight="1" x14ac:dyDescent="0.3">
      <c r="A21" s="45"/>
      <c r="B21" s="28" t="s">
        <v>261</v>
      </c>
      <c r="C21" s="26" t="s">
        <v>250</v>
      </c>
      <c r="D21" s="34">
        <v>2487200</v>
      </c>
      <c r="E21" s="18"/>
    </row>
    <row r="22" spans="1:5" s="83" customFormat="1" ht="18.600000000000001" customHeight="1" x14ac:dyDescent="0.3">
      <c r="A22" s="45">
        <v>2</v>
      </c>
      <c r="B22" s="84" t="s">
        <v>262</v>
      </c>
      <c r="C22" s="56"/>
      <c r="D22" s="85">
        <f>D23+D37</f>
        <v>269781600</v>
      </c>
      <c r="E22" s="86"/>
    </row>
    <row r="23" spans="1:5" s="83" customFormat="1" ht="18.600000000000001" customHeight="1" x14ac:dyDescent="0.3">
      <c r="A23" s="45">
        <v>3</v>
      </c>
      <c r="B23" s="84" t="s">
        <v>263</v>
      </c>
      <c r="C23" s="26"/>
      <c r="D23" s="85">
        <f>SUM(D24:D36)</f>
        <v>207112600</v>
      </c>
      <c r="E23" s="86"/>
    </row>
    <row r="24" spans="1:5" s="83" customFormat="1" ht="18.600000000000001" customHeight="1" x14ac:dyDescent="0.3">
      <c r="A24" s="45"/>
      <c r="B24" s="28" t="s">
        <v>264</v>
      </c>
      <c r="C24" s="26" t="s">
        <v>262</v>
      </c>
      <c r="D24" s="34">
        <v>14088700</v>
      </c>
      <c r="E24" s="86"/>
    </row>
    <row r="25" spans="1:5" s="83" customFormat="1" ht="18.600000000000001" customHeight="1" x14ac:dyDescent="0.3">
      <c r="A25" s="45"/>
      <c r="B25" s="28" t="s">
        <v>265</v>
      </c>
      <c r="C25" s="26" t="s">
        <v>262</v>
      </c>
      <c r="D25" s="34">
        <v>13430100</v>
      </c>
      <c r="E25" s="86"/>
    </row>
    <row r="26" spans="1:5" s="83" customFormat="1" ht="18.600000000000001" customHeight="1" x14ac:dyDescent="0.3">
      <c r="A26" s="45"/>
      <c r="B26" s="28" t="s">
        <v>265</v>
      </c>
      <c r="C26" s="26" t="s">
        <v>262</v>
      </c>
      <c r="D26" s="34">
        <v>16315100</v>
      </c>
      <c r="E26" s="86"/>
    </row>
    <row r="27" spans="1:5" s="83" customFormat="1" ht="18.600000000000001" customHeight="1" x14ac:dyDescent="0.3">
      <c r="A27" s="45"/>
      <c r="B27" s="28" t="s">
        <v>265</v>
      </c>
      <c r="C27" s="26" t="s">
        <v>262</v>
      </c>
      <c r="D27" s="34">
        <v>26571100</v>
      </c>
      <c r="E27" s="86"/>
    </row>
    <row r="28" spans="1:5" s="83" customFormat="1" ht="18.600000000000001" customHeight="1" x14ac:dyDescent="0.3">
      <c r="A28" s="45"/>
      <c r="B28" s="28" t="s">
        <v>265</v>
      </c>
      <c r="C28" s="26" t="s">
        <v>262</v>
      </c>
      <c r="D28" s="34">
        <v>11931800</v>
      </c>
      <c r="E28" s="86"/>
    </row>
    <row r="29" spans="1:5" s="83" customFormat="1" ht="18.600000000000001" customHeight="1" x14ac:dyDescent="0.3">
      <c r="A29" s="45"/>
      <c r="B29" s="28" t="s">
        <v>265</v>
      </c>
      <c r="C29" s="26" t="s">
        <v>262</v>
      </c>
      <c r="D29" s="34">
        <v>6814300</v>
      </c>
      <c r="E29" s="86"/>
    </row>
    <row r="30" spans="1:5" s="83" customFormat="1" ht="18.600000000000001" customHeight="1" x14ac:dyDescent="0.3">
      <c r="A30" s="45"/>
      <c r="B30" s="28" t="s">
        <v>265</v>
      </c>
      <c r="C30" s="26" t="s">
        <v>262</v>
      </c>
      <c r="D30" s="34">
        <v>9760700</v>
      </c>
      <c r="E30" s="86"/>
    </row>
    <row r="31" spans="1:5" s="83" customFormat="1" ht="18.600000000000001" customHeight="1" x14ac:dyDescent="0.3">
      <c r="A31" s="45"/>
      <c r="B31" s="28" t="s">
        <v>265</v>
      </c>
      <c r="C31" s="26" t="s">
        <v>262</v>
      </c>
      <c r="D31" s="34">
        <v>12485300</v>
      </c>
      <c r="E31" s="86"/>
    </row>
    <row r="32" spans="1:5" s="83" customFormat="1" ht="18.600000000000001" customHeight="1" x14ac:dyDescent="0.3">
      <c r="A32" s="45"/>
      <c r="B32" s="28" t="s">
        <v>265</v>
      </c>
      <c r="C32" s="26" t="s">
        <v>262</v>
      </c>
      <c r="D32" s="34">
        <v>6932400</v>
      </c>
      <c r="E32" s="86"/>
    </row>
    <row r="33" spans="1:5" s="83" customFormat="1" ht="18.600000000000001" customHeight="1" x14ac:dyDescent="0.3">
      <c r="A33" s="45"/>
      <c r="B33" s="28" t="s">
        <v>265</v>
      </c>
      <c r="C33" s="26" t="s">
        <v>262</v>
      </c>
      <c r="D33" s="34">
        <v>15257700</v>
      </c>
      <c r="E33" s="86"/>
    </row>
    <row r="34" spans="1:5" s="83" customFormat="1" ht="18.600000000000001" customHeight="1" x14ac:dyDescent="0.3">
      <c r="A34" s="45"/>
      <c r="B34" s="28" t="s">
        <v>265</v>
      </c>
      <c r="C34" s="26" t="s">
        <v>262</v>
      </c>
      <c r="D34" s="34">
        <v>8196800</v>
      </c>
      <c r="E34" s="86"/>
    </row>
    <row r="35" spans="1:5" s="83" customFormat="1" ht="18.600000000000001" customHeight="1" x14ac:dyDescent="0.3">
      <c r="A35" s="45"/>
      <c r="B35" s="28" t="s">
        <v>266</v>
      </c>
      <c r="C35" s="26" t="s">
        <v>262</v>
      </c>
      <c r="D35" s="34">
        <v>42714900</v>
      </c>
      <c r="E35" s="86"/>
    </row>
    <row r="36" spans="1:5" s="83" customFormat="1" ht="18.600000000000001" customHeight="1" x14ac:dyDescent="0.3">
      <c r="A36" s="45"/>
      <c r="B36" s="28" t="s">
        <v>265</v>
      </c>
      <c r="C36" s="26" t="s">
        <v>262</v>
      </c>
      <c r="D36" s="34">
        <v>22613700</v>
      </c>
      <c r="E36" s="86"/>
    </row>
    <row r="37" spans="1:5" s="83" customFormat="1" ht="18.600000000000001" customHeight="1" x14ac:dyDescent="0.3">
      <c r="A37" s="45">
        <v>4</v>
      </c>
      <c r="B37" s="56" t="s">
        <v>267</v>
      </c>
      <c r="C37" s="56" t="s">
        <v>268</v>
      </c>
      <c r="D37" s="85">
        <v>62669000</v>
      </c>
      <c r="E37" s="86"/>
    </row>
    <row r="38" spans="1:5" s="83" customFormat="1" ht="18.600000000000001" customHeight="1" x14ac:dyDescent="0.3">
      <c r="A38" s="45">
        <v>5</v>
      </c>
      <c r="B38" s="84" t="s">
        <v>16</v>
      </c>
      <c r="C38" s="56"/>
      <c r="D38" s="85">
        <f>SUM(D39:D44)</f>
        <v>24450000</v>
      </c>
      <c r="E38" s="86"/>
    </row>
    <row r="39" spans="1:5" s="83" customFormat="1" ht="18.600000000000001" customHeight="1" x14ac:dyDescent="0.3">
      <c r="A39" s="45"/>
      <c r="B39" s="28" t="s">
        <v>269</v>
      </c>
      <c r="C39" s="26" t="s">
        <v>270</v>
      </c>
      <c r="D39" s="34">
        <v>300000</v>
      </c>
      <c r="E39" s="86"/>
    </row>
    <row r="40" spans="1:5" s="83" customFormat="1" ht="18.600000000000001" customHeight="1" x14ac:dyDescent="0.3">
      <c r="A40" s="45"/>
      <c r="B40" s="28" t="s">
        <v>271</v>
      </c>
      <c r="C40" s="26" t="s">
        <v>272</v>
      </c>
      <c r="D40" s="34">
        <v>2550000</v>
      </c>
      <c r="E40" s="86"/>
    </row>
    <row r="41" spans="1:5" s="83" customFormat="1" ht="18.600000000000001" customHeight="1" x14ac:dyDescent="0.3">
      <c r="A41" s="45"/>
      <c r="B41" s="28" t="s">
        <v>273</v>
      </c>
      <c r="C41" s="26" t="s">
        <v>274</v>
      </c>
      <c r="D41" s="34">
        <v>12100000</v>
      </c>
      <c r="E41" s="86"/>
    </row>
    <row r="42" spans="1:5" s="83" customFormat="1" ht="18.600000000000001" customHeight="1" x14ac:dyDescent="0.3">
      <c r="A42" s="45"/>
      <c r="B42" s="28" t="s">
        <v>275</v>
      </c>
      <c r="C42" s="26" t="s">
        <v>276</v>
      </c>
      <c r="D42" s="34">
        <v>3500000</v>
      </c>
      <c r="E42" s="86"/>
    </row>
    <row r="43" spans="1:5" s="83" customFormat="1" ht="18.600000000000001" customHeight="1" x14ac:dyDescent="0.3">
      <c r="A43" s="45"/>
      <c r="B43" s="28" t="s">
        <v>273</v>
      </c>
      <c r="C43" s="26" t="s">
        <v>277</v>
      </c>
      <c r="D43" s="34">
        <v>2000000</v>
      </c>
      <c r="E43" s="86"/>
    </row>
    <row r="44" spans="1:5" s="83" customFormat="1" ht="18.600000000000001" customHeight="1" x14ac:dyDescent="0.3">
      <c r="A44" s="45"/>
      <c r="B44" s="28" t="s">
        <v>278</v>
      </c>
      <c r="C44" s="26" t="s">
        <v>279</v>
      </c>
      <c r="D44" s="34">
        <v>4000000</v>
      </c>
      <c r="E44" s="86"/>
    </row>
    <row r="45" spans="1:5" s="83" customFormat="1" ht="18.600000000000001" customHeight="1" x14ac:dyDescent="0.3">
      <c r="A45" s="45">
        <v>6</v>
      </c>
      <c r="B45" s="84" t="s">
        <v>280</v>
      </c>
      <c r="C45" s="56"/>
      <c r="D45" s="85">
        <f>SUM(D46:D48)</f>
        <v>37073700</v>
      </c>
      <c r="E45" s="86"/>
    </row>
    <row r="46" spans="1:5" s="83" customFormat="1" ht="18.600000000000001" customHeight="1" x14ac:dyDescent="0.3">
      <c r="A46" s="45"/>
      <c r="B46" s="28" t="s">
        <v>281</v>
      </c>
      <c r="C46" s="26" t="s">
        <v>282</v>
      </c>
      <c r="D46" s="34">
        <v>5641700</v>
      </c>
      <c r="E46" s="86"/>
    </row>
    <row r="47" spans="1:5" s="83" customFormat="1" ht="18.600000000000001" customHeight="1" x14ac:dyDescent="0.3">
      <c r="A47" s="45"/>
      <c r="B47" s="28" t="s">
        <v>283</v>
      </c>
      <c r="C47" s="26" t="s">
        <v>282</v>
      </c>
      <c r="D47" s="34">
        <v>19482000</v>
      </c>
      <c r="E47" s="86"/>
    </row>
    <row r="48" spans="1:5" s="83" customFormat="1" ht="18.600000000000001" customHeight="1" x14ac:dyDescent="0.3">
      <c r="A48" s="45"/>
      <c r="B48" s="28" t="s">
        <v>284</v>
      </c>
      <c r="C48" s="26" t="s">
        <v>285</v>
      </c>
      <c r="D48" s="34">
        <v>11950000</v>
      </c>
      <c r="E48" s="86"/>
    </row>
    <row r="49" spans="1:5" s="83" customFormat="1" ht="18.600000000000001" customHeight="1" x14ac:dyDescent="0.3">
      <c r="A49" s="45">
        <v>7</v>
      </c>
      <c r="B49" s="84" t="s">
        <v>286</v>
      </c>
      <c r="C49" s="56"/>
      <c r="D49" s="85">
        <f>SUM(D50:D52)</f>
        <v>52408300</v>
      </c>
      <c r="E49" s="86"/>
    </row>
    <row r="50" spans="1:5" s="83" customFormat="1" ht="18.600000000000001" customHeight="1" x14ac:dyDescent="0.3">
      <c r="A50" s="45"/>
      <c r="B50" s="28" t="s">
        <v>287</v>
      </c>
      <c r="C50" s="26" t="s">
        <v>288</v>
      </c>
      <c r="D50" s="34">
        <v>45507000</v>
      </c>
      <c r="E50" s="86"/>
    </row>
    <row r="51" spans="1:5" s="83" customFormat="1" ht="18.600000000000001" customHeight="1" x14ac:dyDescent="0.3">
      <c r="A51" s="45"/>
      <c r="B51" s="28" t="s">
        <v>289</v>
      </c>
      <c r="C51" s="26" t="s">
        <v>290</v>
      </c>
      <c r="D51" s="34">
        <v>5096300</v>
      </c>
      <c r="E51" s="86"/>
    </row>
    <row r="52" spans="1:5" s="83" customFormat="1" ht="18.600000000000001" customHeight="1" x14ac:dyDescent="0.3">
      <c r="A52" s="45"/>
      <c r="B52" s="28" t="s">
        <v>291</v>
      </c>
      <c r="C52" s="26" t="s">
        <v>292</v>
      </c>
      <c r="D52" s="34">
        <v>1805000</v>
      </c>
      <c r="E52" s="86"/>
    </row>
    <row r="53" spans="1:5" s="83" customFormat="1" ht="18.600000000000001" customHeight="1" x14ac:dyDescent="0.3">
      <c r="A53" s="45">
        <v>8</v>
      </c>
      <c r="B53" s="84" t="s">
        <v>293</v>
      </c>
      <c r="C53" s="56"/>
      <c r="D53" s="87">
        <f>SUM(D54:D57)</f>
        <v>26147600</v>
      </c>
      <c r="E53" s="86"/>
    </row>
    <row r="54" spans="1:5" s="83" customFormat="1" ht="18.600000000000001" customHeight="1" x14ac:dyDescent="0.3">
      <c r="A54" s="45"/>
      <c r="B54" s="28" t="s">
        <v>294</v>
      </c>
      <c r="C54" s="26"/>
      <c r="D54" s="88">
        <v>1009000</v>
      </c>
      <c r="E54" s="86"/>
    </row>
    <row r="55" spans="1:5" s="83" customFormat="1" ht="18.600000000000001" customHeight="1" x14ac:dyDescent="0.3">
      <c r="A55" s="45"/>
      <c r="B55" s="28" t="s">
        <v>295</v>
      </c>
      <c r="C55" s="26"/>
      <c r="D55" s="88">
        <v>3715600</v>
      </c>
      <c r="E55" s="86"/>
    </row>
    <row r="56" spans="1:5" s="83" customFormat="1" ht="18.600000000000001" customHeight="1" x14ac:dyDescent="0.3">
      <c r="A56" s="45"/>
      <c r="B56" s="28" t="s">
        <v>296</v>
      </c>
      <c r="C56" s="26"/>
      <c r="D56" s="88">
        <v>16034000</v>
      </c>
      <c r="E56" s="86"/>
    </row>
    <row r="57" spans="1:5" s="83" customFormat="1" ht="18.600000000000001" customHeight="1" x14ac:dyDescent="0.3">
      <c r="A57" s="45"/>
      <c r="B57" s="28" t="s">
        <v>297</v>
      </c>
      <c r="C57" s="26"/>
      <c r="D57" s="88">
        <v>5389000</v>
      </c>
      <c r="E57" s="86"/>
    </row>
    <row r="58" spans="1:5" s="83" customFormat="1" ht="18.600000000000001" customHeight="1" x14ac:dyDescent="0.3">
      <c r="A58" s="45">
        <v>9</v>
      </c>
      <c r="B58" s="84" t="s">
        <v>298</v>
      </c>
      <c r="C58" s="56"/>
      <c r="D58" s="87">
        <f>SUM(D59:D59)</f>
        <v>2000000</v>
      </c>
      <c r="E58" s="86"/>
    </row>
    <row r="59" spans="1:5" s="83" customFormat="1" ht="18.600000000000001" customHeight="1" x14ac:dyDescent="0.3">
      <c r="A59" s="82"/>
      <c r="B59" s="28" t="s">
        <v>299</v>
      </c>
      <c r="C59" s="89" t="s">
        <v>300</v>
      </c>
      <c r="D59" s="88">
        <v>2000000</v>
      </c>
      <c r="E59" s="86"/>
    </row>
    <row r="61" spans="1:5" x14ac:dyDescent="0.3">
      <c r="D61" s="158" t="s">
        <v>308</v>
      </c>
      <c r="E61" s="158"/>
    </row>
  </sheetData>
  <mergeCells count="5">
    <mergeCell ref="D1:E1"/>
    <mergeCell ref="A4:E4"/>
    <mergeCell ref="A5:E5"/>
    <mergeCell ref="D6:E6"/>
    <mergeCell ref="D61:E61"/>
  </mergeCells>
  <pageMargins left="0.45" right="0.2" top="0.5" bottom="0.2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3"/>
  <sheetViews>
    <sheetView workbookViewId="0">
      <selection activeCell="A4" sqref="A4:F4"/>
    </sheetView>
  </sheetViews>
  <sheetFormatPr defaultColWidth="9.109375" defaultRowHeight="16.8" x14ac:dyDescent="0.3"/>
  <cols>
    <col min="1" max="1" width="5.77734375" style="5" customWidth="1"/>
    <col min="2" max="2" width="56.6640625" style="5" customWidth="1"/>
    <col min="3" max="3" width="15.88671875" style="5" customWidth="1"/>
    <col min="4" max="4" width="17.88671875" style="12" customWidth="1"/>
    <col min="5" max="5" width="14.5546875" style="12" customWidth="1"/>
    <col min="6" max="6" width="48.44140625" style="5" customWidth="1"/>
    <col min="7" max="16384" width="9.109375" style="5"/>
  </cols>
  <sheetData>
    <row r="1" spans="1:6" x14ac:dyDescent="0.3">
      <c r="B1" s="76" t="s">
        <v>306</v>
      </c>
    </row>
    <row r="2" spans="1:6" x14ac:dyDescent="0.3">
      <c r="B2" s="76" t="s">
        <v>307</v>
      </c>
      <c r="F2" s="90"/>
    </row>
    <row r="3" spans="1:6" x14ac:dyDescent="0.3">
      <c r="B3" s="76"/>
      <c r="F3" s="90"/>
    </row>
    <row r="4" spans="1:6" x14ac:dyDescent="0.3">
      <c r="A4" s="160" t="s">
        <v>313</v>
      </c>
      <c r="B4" s="160"/>
      <c r="C4" s="160"/>
      <c r="D4" s="160"/>
      <c r="E4" s="160"/>
      <c r="F4" s="160"/>
    </row>
    <row r="5" spans="1:6" x14ac:dyDescent="0.3">
      <c r="D5" s="159"/>
      <c r="E5" s="159"/>
      <c r="F5" s="67" t="s">
        <v>309</v>
      </c>
    </row>
    <row r="6" spans="1:6" s="66" customFormat="1" ht="46.8" x14ac:dyDescent="0.3">
      <c r="A6" s="4" t="s">
        <v>7</v>
      </c>
      <c r="B6" s="4" t="s">
        <v>8</v>
      </c>
      <c r="C6" s="4" t="s">
        <v>4</v>
      </c>
      <c r="D6" s="55" t="s">
        <v>9</v>
      </c>
      <c r="E6" s="55" t="s">
        <v>10</v>
      </c>
      <c r="F6" s="4" t="s">
        <v>5</v>
      </c>
    </row>
    <row r="7" spans="1:6" s="7" customFormat="1" ht="19.2" customHeight="1" x14ac:dyDescent="0.3">
      <c r="A7" s="6" t="s">
        <v>2</v>
      </c>
      <c r="B7" s="9" t="s">
        <v>303</v>
      </c>
      <c r="C7" s="69">
        <f>SUM(C8:C14)</f>
        <v>447529009</v>
      </c>
      <c r="D7" s="54"/>
      <c r="E7" s="54"/>
      <c r="F7" s="6"/>
    </row>
    <row r="8" spans="1:6" s="7" customFormat="1" ht="50.4" x14ac:dyDescent="0.3">
      <c r="A8" s="8">
        <v>1</v>
      </c>
      <c r="B8" s="58" t="s">
        <v>109</v>
      </c>
      <c r="C8" s="23">
        <v>283350000</v>
      </c>
      <c r="D8" s="52" t="s">
        <v>111</v>
      </c>
      <c r="E8" s="10" t="s">
        <v>110</v>
      </c>
      <c r="F8" s="10" t="s">
        <v>244</v>
      </c>
    </row>
    <row r="9" spans="1:6" s="7" customFormat="1" ht="33.6" x14ac:dyDescent="0.3">
      <c r="A9" s="8">
        <v>2</v>
      </c>
      <c r="B9" s="14" t="s">
        <v>241</v>
      </c>
      <c r="C9" s="23">
        <v>14545000</v>
      </c>
      <c r="D9" s="52" t="s">
        <v>111</v>
      </c>
      <c r="E9" s="10"/>
      <c r="F9" s="10" t="s">
        <v>246</v>
      </c>
    </row>
    <row r="10" spans="1:6" s="7" customFormat="1" ht="33.6" x14ac:dyDescent="0.3">
      <c r="A10" s="8">
        <v>3</v>
      </c>
      <c r="B10" s="58" t="s">
        <v>242</v>
      </c>
      <c r="C10" s="23">
        <v>7484009</v>
      </c>
      <c r="D10" s="52" t="s">
        <v>117</v>
      </c>
      <c r="E10" s="10"/>
      <c r="F10" s="10" t="s">
        <v>245</v>
      </c>
    </row>
    <row r="11" spans="1:6" s="7" customFormat="1" ht="33.6" x14ac:dyDescent="0.3">
      <c r="A11" s="8">
        <v>4</v>
      </c>
      <c r="B11" s="58" t="s">
        <v>118</v>
      </c>
      <c r="C11" s="23">
        <v>138700000</v>
      </c>
      <c r="D11" s="52" t="s">
        <v>305</v>
      </c>
      <c r="E11" s="10"/>
      <c r="F11" s="10" t="s">
        <v>245</v>
      </c>
    </row>
    <row r="12" spans="1:6" s="7" customFormat="1" ht="33.6" x14ac:dyDescent="0.3">
      <c r="A12" s="6">
        <v>5</v>
      </c>
      <c r="B12" s="11" t="s">
        <v>132</v>
      </c>
      <c r="C12" s="70">
        <v>745000</v>
      </c>
      <c r="D12" s="52" t="s">
        <v>111</v>
      </c>
      <c r="E12" s="54"/>
      <c r="F12" s="10" t="s">
        <v>245</v>
      </c>
    </row>
    <row r="13" spans="1:6" s="7" customFormat="1" ht="33.6" x14ac:dyDescent="0.3">
      <c r="A13" s="8">
        <v>6</v>
      </c>
      <c r="B13" s="11" t="s">
        <v>133</v>
      </c>
      <c r="C13" s="70">
        <v>1700000</v>
      </c>
      <c r="D13" s="52" t="s">
        <v>111</v>
      </c>
      <c r="E13" s="54"/>
      <c r="F13" s="10" t="s">
        <v>245</v>
      </c>
    </row>
    <row r="14" spans="1:6" s="7" customFormat="1" ht="33.6" x14ac:dyDescent="0.3">
      <c r="A14" s="6">
        <v>7</v>
      </c>
      <c r="B14" s="14" t="s">
        <v>134</v>
      </c>
      <c r="C14" s="70">
        <f>1750000-745000</f>
        <v>1005000</v>
      </c>
      <c r="D14" s="52" t="s">
        <v>111</v>
      </c>
      <c r="E14" s="54"/>
      <c r="F14" s="10" t="s">
        <v>245</v>
      </c>
    </row>
    <row r="15" spans="1:6" s="7" customFormat="1" x14ac:dyDescent="0.3">
      <c r="A15" s="6" t="s">
        <v>3</v>
      </c>
      <c r="B15" s="9" t="s">
        <v>304</v>
      </c>
      <c r="C15" s="69">
        <f>SUM(C16:C23)</f>
        <v>811769028</v>
      </c>
      <c r="D15" s="54"/>
      <c r="E15" s="54"/>
      <c r="F15" s="6"/>
    </row>
    <row r="16" spans="1:6" ht="33.6" x14ac:dyDescent="0.3">
      <c r="A16" s="8">
        <v>1</v>
      </c>
      <c r="B16" s="57" t="s">
        <v>108</v>
      </c>
      <c r="C16" s="23">
        <v>246400000</v>
      </c>
      <c r="D16" s="52" t="s">
        <v>112</v>
      </c>
      <c r="E16" s="10"/>
      <c r="F16" s="10" t="s">
        <v>301</v>
      </c>
    </row>
    <row r="17" spans="1:11" ht="33.6" x14ac:dyDescent="0.3">
      <c r="A17" s="8">
        <v>2</v>
      </c>
      <c r="B17" s="57" t="s">
        <v>108</v>
      </c>
      <c r="C17" s="23">
        <v>107800000</v>
      </c>
      <c r="D17" s="52" t="s">
        <v>113</v>
      </c>
      <c r="E17" s="10"/>
      <c r="F17" s="10" t="s">
        <v>301</v>
      </c>
    </row>
    <row r="18" spans="1:11" ht="33.6" x14ac:dyDescent="0.3">
      <c r="A18" s="8">
        <v>3</v>
      </c>
      <c r="B18" s="14" t="s">
        <v>137</v>
      </c>
      <c r="C18" s="23">
        <v>132378898</v>
      </c>
      <c r="D18" s="10" t="s">
        <v>117</v>
      </c>
      <c r="E18" s="10"/>
      <c r="F18" s="10" t="s">
        <v>301</v>
      </c>
    </row>
    <row r="19" spans="1:11" ht="33.6" x14ac:dyDescent="0.3">
      <c r="A19" s="8">
        <v>4</v>
      </c>
      <c r="B19" s="14" t="s">
        <v>128</v>
      </c>
      <c r="C19" s="71">
        <v>129272146</v>
      </c>
      <c r="D19" s="10" t="s">
        <v>117</v>
      </c>
      <c r="E19" s="10"/>
      <c r="F19" s="10" t="s">
        <v>301</v>
      </c>
    </row>
    <row r="20" spans="1:11" ht="33.6" x14ac:dyDescent="0.3">
      <c r="A20" s="8">
        <v>5</v>
      </c>
      <c r="B20" s="11" t="s">
        <v>129</v>
      </c>
      <c r="C20" s="70">
        <v>40000000</v>
      </c>
      <c r="D20" s="10">
        <v>2025</v>
      </c>
      <c r="E20" s="10"/>
      <c r="F20" s="10" t="s">
        <v>301</v>
      </c>
    </row>
    <row r="21" spans="1:11" ht="33.6" x14ac:dyDescent="0.3">
      <c r="A21" s="8">
        <v>6</v>
      </c>
      <c r="B21" s="11" t="s">
        <v>130</v>
      </c>
      <c r="C21" s="70">
        <f>83051587-30000000</f>
        <v>53051587</v>
      </c>
      <c r="D21" s="10">
        <v>2025</v>
      </c>
      <c r="E21" s="10"/>
      <c r="F21" s="10" t="s">
        <v>301</v>
      </c>
    </row>
    <row r="22" spans="1:11" ht="33.6" x14ac:dyDescent="0.3">
      <c r="A22" s="8">
        <v>7</v>
      </c>
      <c r="B22" s="14" t="s">
        <v>135</v>
      </c>
      <c r="C22" s="70">
        <v>76316397</v>
      </c>
      <c r="D22" s="10" t="s">
        <v>136</v>
      </c>
      <c r="E22" s="10"/>
      <c r="F22" s="10" t="s">
        <v>301</v>
      </c>
    </row>
    <row r="23" spans="1:11" ht="33.6" x14ac:dyDescent="0.3">
      <c r="A23" s="8">
        <v>8</v>
      </c>
      <c r="B23" s="14" t="s">
        <v>131</v>
      </c>
      <c r="C23" s="70">
        <v>26550000</v>
      </c>
      <c r="D23" s="10">
        <v>2025</v>
      </c>
      <c r="E23" s="10"/>
      <c r="F23" s="10" t="s">
        <v>301</v>
      </c>
    </row>
    <row r="24" spans="1:11" s="97" customFormat="1" ht="16.2" x14ac:dyDescent="0.3">
      <c r="A24" s="91" t="s">
        <v>6</v>
      </c>
      <c r="B24" s="92" t="s">
        <v>302</v>
      </c>
      <c r="C24" s="93">
        <f>SUM(C25:C30)</f>
        <v>2975144853</v>
      </c>
      <c r="D24" s="94"/>
      <c r="E24" s="95"/>
      <c r="F24" s="96"/>
      <c r="G24" s="98"/>
      <c r="H24" s="99"/>
      <c r="I24" s="100"/>
      <c r="J24" s="100"/>
      <c r="K24" s="100"/>
    </row>
    <row r="25" spans="1:11" ht="33.6" x14ac:dyDescent="0.3">
      <c r="A25" s="8">
        <v>1</v>
      </c>
      <c r="B25" s="58" t="s">
        <v>119</v>
      </c>
      <c r="C25" s="68">
        <v>7216153</v>
      </c>
      <c r="D25" s="52" t="s">
        <v>120</v>
      </c>
      <c r="E25" s="10"/>
      <c r="F25" s="10" t="s">
        <v>310</v>
      </c>
    </row>
    <row r="26" spans="1:11" ht="18" x14ac:dyDescent="0.3">
      <c r="A26" s="8">
        <v>2</v>
      </c>
      <c r="B26" s="58" t="s">
        <v>121</v>
      </c>
      <c r="C26" s="68">
        <v>23949000</v>
      </c>
      <c r="D26" s="52" t="s">
        <v>120</v>
      </c>
      <c r="E26" s="10"/>
      <c r="F26" s="10" t="s">
        <v>310</v>
      </c>
    </row>
    <row r="27" spans="1:11" ht="18" x14ac:dyDescent="0.3">
      <c r="A27" s="8">
        <v>3</v>
      </c>
      <c r="B27" s="58" t="s">
        <v>243</v>
      </c>
      <c r="C27" s="68">
        <v>119360000</v>
      </c>
      <c r="D27" s="52" t="s">
        <v>120</v>
      </c>
      <c r="E27" s="10"/>
      <c r="F27" s="10" t="s">
        <v>310</v>
      </c>
    </row>
    <row r="28" spans="1:11" ht="18" x14ac:dyDescent="0.3">
      <c r="A28" s="8">
        <v>4</v>
      </c>
      <c r="B28" s="58" t="s">
        <v>123</v>
      </c>
      <c r="C28" s="68">
        <v>365144000</v>
      </c>
      <c r="D28" s="52" t="s">
        <v>124</v>
      </c>
      <c r="E28" s="10"/>
      <c r="F28" s="10" t="s">
        <v>310</v>
      </c>
    </row>
    <row r="29" spans="1:11" ht="18" x14ac:dyDescent="0.3">
      <c r="A29" s="8">
        <v>5</v>
      </c>
      <c r="B29" s="58" t="s">
        <v>125</v>
      </c>
      <c r="C29" s="68">
        <v>679945700</v>
      </c>
      <c r="D29" s="52" t="s">
        <v>120</v>
      </c>
      <c r="E29" s="10"/>
      <c r="F29" s="10" t="s">
        <v>310</v>
      </c>
    </row>
    <row r="30" spans="1:11" ht="33.6" x14ac:dyDescent="0.3">
      <c r="A30" s="8">
        <v>6</v>
      </c>
      <c r="B30" s="58" t="s">
        <v>126</v>
      </c>
      <c r="C30" s="71">
        <v>1779530000</v>
      </c>
      <c r="D30" s="52" t="s">
        <v>127</v>
      </c>
      <c r="E30" s="10"/>
      <c r="F30" s="10" t="s">
        <v>310</v>
      </c>
    </row>
    <row r="31" spans="1:11" x14ac:dyDescent="0.3">
      <c r="A31" s="8"/>
      <c r="B31" s="6" t="s">
        <v>183</v>
      </c>
      <c r="C31" s="69">
        <f>C24+C15+C7</f>
        <v>4234442890</v>
      </c>
      <c r="D31" s="10"/>
      <c r="E31" s="10"/>
      <c r="F31" s="8"/>
    </row>
    <row r="33" spans="6:6" x14ac:dyDescent="0.3">
      <c r="F33" s="7" t="s">
        <v>308</v>
      </c>
    </row>
  </sheetData>
  <mergeCells count="2">
    <mergeCell ref="D5:E5"/>
    <mergeCell ref="A4:F4"/>
  </mergeCells>
  <pageMargins left="0.45" right="0.25" top="0.5" bottom="0.5" header="0.3" footer="0.3"/>
  <pageSetup paperSize="9" scale="85"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0"/>
  <sheetViews>
    <sheetView tabSelected="1" topLeftCell="A70" workbookViewId="0">
      <selection activeCell="D77" sqref="D77"/>
    </sheetView>
  </sheetViews>
  <sheetFormatPr defaultRowHeight="14.4" x14ac:dyDescent="0.3"/>
  <cols>
    <col min="1" max="1" width="7" customWidth="1"/>
    <col min="2" max="2" width="40.109375" customWidth="1"/>
    <col min="3" max="3" width="49.21875" style="73" customWidth="1"/>
    <col min="4" max="4" width="17.44140625" customWidth="1"/>
    <col min="5" max="5" width="37.5546875" customWidth="1"/>
  </cols>
  <sheetData>
    <row r="1" spans="1:5" ht="15.6" x14ac:dyDescent="0.3">
      <c r="B1" s="76" t="s">
        <v>306</v>
      </c>
    </row>
    <row r="2" spans="1:5" ht="15.6" x14ac:dyDescent="0.3">
      <c r="B2" s="76" t="s">
        <v>307</v>
      </c>
    </row>
    <row r="3" spans="1:5" ht="13.2" customHeight="1" x14ac:dyDescent="0.3">
      <c r="A3" s="2"/>
      <c r="B3" s="2"/>
      <c r="C3" s="2"/>
      <c r="D3" s="172"/>
      <c r="E3" s="172"/>
    </row>
    <row r="4" spans="1:5" ht="15.6" x14ac:dyDescent="0.3">
      <c r="A4" s="173" t="s">
        <v>314</v>
      </c>
      <c r="B4" s="173"/>
      <c r="C4" s="173"/>
      <c r="D4" s="173"/>
      <c r="E4" s="173"/>
    </row>
    <row r="5" spans="1:5" ht="16.8" x14ac:dyDescent="0.3">
      <c r="A5" s="66"/>
      <c r="B5" s="66"/>
      <c r="C5" s="66"/>
      <c r="D5" s="66"/>
      <c r="E5" s="67" t="s">
        <v>309</v>
      </c>
    </row>
    <row r="6" spans="1:5" ht="15.6" x14ac:dyDescent="0.3">
      <c r="A6" s="4" t="s">
        <v>7</v>
      </c>
      <c r="B6" s="4" t="s">
        <v>8</v>
      </c>
      <c r="C6" s="4" t="s">
        <v>1</v>
      </c>
      <c r="D6" s="4" t="s">
        <v>4</v>
      </c>
      <c r="E6" s="55" t="s">
        <v>5</v>
      </c>
    </row>
    <row r="7" spans="1:5" ht="25.05" customHeight="1" x14ac:dyDescent="0.3">
      <c r="A7" s="43">
        <v>1</v>
      </c>
      <c r="B7" s="24" t="s">
        <v>11</v>
      </c>
      <c r="C7" s="101" t="s">
        <v>12</v>
      </c>
      <c r="D7" s="25">
        <v>10000000</v>
      </c>
      <c r="E7" s="176" t="s">
        <v>47</v>
      </c>
    </row>
    <row r="8" spans="1:5" ht="25.05" customHeight="1" x14ac:dyDescent="0.3">
      <c r="A8" s="43">
        <v>2</v>
      </c>
      <c r="B8" s="24" t="s">
        <v>13</v>
      </c>
      <c r="C8" s="101" t="s">
        <v>14</v>
      </c>
      <c r="D8" s="25">
        <v>50000000</v>
      </c>
      <c r="E8" s="176"/>
    </row>
    <row r="9" spans="1:5" ht="25.05" customHeight="1" x14ac:dyDescent="0.3">
      <c r="A9" s="43">
        <v>3</v>
      </c>
      <c r="B9" s="24" t="s">
        <v>15</v>
      </c>
      <c r="C9" s="101" t="s">
        <v>16</v>
      </c>
      <c r="D9" s="25">
        <v>69244000</v>
      </c>
      <c r="E9" s="176"/>
    </row>
    <row r="10" spans="1:5" ht="25.05" customHeight="1" x14ac:dyDescent="0.3">
      <c r="A10" s="43">
        <v>4</v>
      </c>
      <c r="B10" s="24" t="s">
        <v>17</v>
      </c>
      <c r="C10" s="101" t="s">
        <v>18</v>
      </c>
      <c r="D10" s="25">
        <f>6959.7*1000</f>
        <v>6959700</v>
      </c>
      <c r="E10" s="176"/>
    </row>
    <row r="11" spans="1:5" ht="25.05" customHeight="1" x14ac:dyDescent="0.3">
      <c r="A11" s="43">
        <v>5</v>
      </c>
      <c r="B11" s="24" t="s">
        <v>19</v>
      </c>
      <c r="C11" s="101" t="s">
        <v>20</v>
      </c>
      <c r="D11" s="25">
        <f>30284*1000</f>
        <v>30284000</v>
      </c>
      <c r="E11" s="176"/>
    </row>
    <row r="12" spans="1:5" ht="25.05" customHeight="1" x14ac:dyDescent="0.3">
      <c r="A12" s="43">
        <v>6</v>
      </c>
      <c r="B12" s="24" t="s">
        <v>21</v>
      </c>
      <c r="C12" s="101" t="s">
        <v>22</v>
      </c>
      <c r="D12" s="25">
        <f>1000*36591</f>
        <v>36591000</v>
      </c>
      <c r="E12" s="176"/>
    </row>
    <row r="13" spans="1:5" ht="25.05" customHeight="1" x14ac:dyDescent="0.3">
      <c r="A13" s="43">
        <v>7</v>
      </c>
      <c r="B13" s="24" t="s">
        <v>23</v>
      </c>
      <c r="C13" s="101" t="s">
        <v>24</v>
      </c>
      <c r="D13" s="25">
        <f>1000*12175</f>
        <v>12175000</v>
      </c>
      <c r="E13" s="176"/>
    </row>
    <row r="14" spans="1:5" ht="25.05" customHeight="1" x14ac:dyDescent="0.3">
      <c r="A14" s="43">
        <v>8</v>
      </c>
      <c r="B14" s="24" t="s">
        <v>25</v>
      </c>
      <c r="C14" s="101" t="s">
        <v>26</v>
      </c>
      <c r="D14" s="25">
        <f>1000*51931</f>
        <v>51931000</v>
      </c>
      <c r="E14" s="176"/>
    </row>
    <row r="15" spans="1:5" ht="25.05" customHeight="1" x14ac:dyDescent="0.3">
      <c r="A15" s="43">
        <v>9</v>
      </c>
      <c r="B15" s="24" t="s">
        <v>27</v>
      </c>
      <c r="C15" s="101" t="s">
        <v>28</v>
      </c>
      <c r="D15" s="25">
        <f>1000*20149</f>
        <v>20149000</v>
      </c>
      <c r="E15" s="176"/>
    </row>
    <row r="16" spans="1:5" ht="25.05" customHeight="1" x14ac:dyDescent="0.3">
      <c r="A16" s="43">
        <v>10</v>
      </c>
      <c r="B16" s="24" t="s">
        <v>29</v>
      </c>
      <c r="C16" s="101" t="s">
        <v>30</v>
      </c>
      <c r="D16" s="25">
        <f>1000*61540.5</f>
        <v>61540500</v>
      </c>
      <c r="E16" s="176"/>
    </row>
    <row r="17" spans="1:5" ht="25.05" customHeight="1" x14ac:dyDescent="0.3">
      <c r="A17" s="43">
        <v>11</v>
      </c>
      <c r="B17" s="24" t="s">
        <v>31</v>
      </c>
      <c r="C17" s="101" t="s">
        <v>32</v>
      </c>
      <c r="D17" s="25">
        <f>1000*33938</f>
        <v>33938000</v>
      </c>
      <c r="E17" s="176"/>
    </row>
    <row r="18" spans="1:5" ht="25.05" customHeight="1" x14ac:dyDescent="0.3">
      <c r="A18" s="43">
        <v>12</v>
      </c>
      <c r="B18" s="24" t="s">
        <v>33</v>
      </c>
      <c r="C18" s="101" t="s">
        <v>34</v>
      </c>
      <c r="D18" s="25">
        <f>1000*5201.5</f>
        <v>5201500</v>
      </c>
      <c r="E18" s="176"/>
    </row>
    <row r="19" spans="1:5" ht="25.05" customHeight="1" x14ac:dyDescent="0.3">
      <c r="A19" s="43">
        <v>13</v>
      </c>
      <c r="B19" s="24" t="s">
        <v>35</v>
      </c>
      <c r="C19" s="101" t="s">
        <v>36</v>
      </c>
      <c r="D19" s="25">
        <f>1000*4823.9</f>
        <v>4823900</v>
      </c>
      <c r="E19" s="176"/>
    </row>
    <row r="20" spans="1:5" ht="25.05" customHeight="1" x14ac:dyDescent="0.3">
      <c r="A20" s="43">
        <v>14</v>
      </c>
      <c r="B20" s="24" t="s">
        <v>37</v>
      </c>
      <c r="C20" s="101" t="s">
        <v>38</v>
      </c>
      <c r="D20" s="25">
        <f>1000*16808.4</f>
        <v>16808400</v>
      </c>
      <c r="E20" s="176"/>
    </row>
    <row r="21" spans="1:5" ht="25.05" customHeight="1" x14ac:dyDescent="0.3">
      <c r="A21" s="43">
        <v>15</v>
      </c>
      <c r="B21" s="24" t="s">
        <v>39</v>
      </c>
      <c r="C21" s="101" t="s">
        <v>40</v>
      </c>
      <c r="D21" s="25">
        <f>1000*29328</f>
        <v>29328000</v>
      </c>
      <c r="E21" s="176"/>
    </row>
    <row r="22" spans="1:5" ht="25.05" customHeight="1" x14ac:dyDescent="0.3">
      <c r="A22" s="43">
        <v>16</v>
      </c>
      <c r="B22" s="24" t="s">
        <v>41</v>
      </c>
      <c r="C22" s="102" t="s">
        <v>42</v>
      </c>
      <c r="D22" s="25">
        <f>1000*32794</f>
        <v>32794000</v>
      </c>
      <c r="E22" s="176"/>
    </row>
    <row r="23" spans="1:5" ht="25.05" customHeight="1" x14ac:dyDescent="0.3">
      <c r="A23" s="43">
        <v>17</v>
      </c>
      <c r="B23" s="26" t="s">
        <v>43</v>
      </c>
      <c r="C23" s="18" t="s">
        <v>44</v>
      </c>
      <c r="D23" s="27">
        <f>1000*59116</f>
        <v>59116000</v>
      </c>
      <c r="E23" s="176"/>
    </row>
    <row r="24" spans="1:5" ht="31.8" customHeight="1" x14ac:dyDescent="0.3">
      <c r="A24" s="43">
        <v>18</v>
      </c>
      <c r="B24" s="28" t="s">
        <v>45</v>
      </c>
      <c r="C24" s="18" t="s">
        <v>46</v>
      </c>
      <c r="D24" s="29">
        <f>1000*51075</f>
        <v>51075000</v>
      </c>
      <c r="E24" s="44" t="s">
        <v>48</v>
      </c>
    </row>
    <row r="25" spans="1:5" ht="25.05" customHeight="1" x14ac:dyDescent="0.3">
      <c r="A25" s="45">
        <v>19</v>
      </c>
      <c r="B25" s="170" t="s">
        <v>49</v>
      </c>
      <c r="C25" s="170"/>
      <c r="D25" s="30"/>
      <c r="E25" s="49" t="s">
        <v>50</v>
      </c>
    </row>
    <row r="26" spans="1:5" ht="25.05" customHeight="1" x14ac:dyDescent="0.3">
      <c r="A26" s="46"/>
      <c r="B26" s="26" t="s">
        <v>52</v>
      </c>
      <c r="C26" s="18" t="s">
        <v>53</v>
      </c>
      <c r="D26" s="31">
        <f>1000*13187</f>
        <v>13187000</v>
      </c>
      <c r="E26" s="49"/>
    </row>
    <row r="27" spans="1:5" ht="25.05" customHeight="1" x14ac:dyDescent="0.3">
      <c r="A27" s="46">
        <v>20</v>
      </c>
      <c r="B27" s="171" t="s">
        <v>54</v>
      </c>
      <c r="C27" s="171"/>
      <c r="D27" s="33"/>
      <c r="E27" s="49" t="s">
        <v>50</v>
      </c>
    </row>
    <row r="28" spans="1:5" ht="25.05" customHeight="1" x14ac:dyDescent="0.3">
      <c r="A28" s="46"/>
      <c r="B28" s="32" t="s">
        <v>55</v>
      </c>
      <c r="C28" s="65" t="s">
        <v>56</v>
      </c>
      <c r="D28" s="31">
        <f>1000*10781</f>
        <v>10781000</v>
      </c>
      <c r="E28" s="49"/>
    </row>
    <row r="29" spans="1:5" ht="25.05" customHeight="1" x14ac:dyDescent="0.3">
      <c r="A29" s="46">
        <v>21</v>
      </c>
      <c r="B29" s="171" t="s">
        <v>57</v>
      </c>
      <c r="C29" s="171"/>
      <c r="D29" s="33"/>
      <c r="E29" s="49" t="s">
        <v>50</v>
      </c>
    </row>
    <row r="30" spans="1:5" ht="25.05" customHeight="1" x14ac:dyDescent="0.3">
      <c r="A30" s="46"/>
      <c r="B30" s="32" t="s">
        <v>55</v>
      </c>
      <c r="C30" s="65" t="s">
        <v>53</v>
      </c>
      <c r="D30" s="34">
        <f>1000*7624</f>
        <v>7624000</v>
      </c>
      <c r="E30" s="49"/>
    </row>
    <row r="31" spans="1:5" ht="25.05" customHeight="1" x14ac:dyDescent="0.3">
      <c r="A31" s="46">
        <v>22</v>
      </c>
      <c r="B31" s="171" t="s">
        <v>58</v>
      </c>
      <c r="C31" s="171"/>
      <c r="D31" s="33"/>
      <c r="E31" s="49" t="s">
        <v>50</v>
      </c>
    </row>
    <row r="32" spans="1:5" ht="25.05" customHeight="1" x14ac:dyDescent="0.3">
      <c r="A32" s="46"/>
      <c r="B32" s="26" t="s">
        <v>59</v>
      </c>
      <c r="C32" s="18" t="s">
        <v>53</v>
      </c>
      <c r="D32" s="31">
        <f>1000*6219</f>
        <v>6219000</v>
      </c>
      <c r="E32" s="49"/>
    </row>
    <row r="33" spans="1:5" ht="30.6" customHeight="1" x14ac:dyDescent="0.3">
      <c r="A33" s="45">
        <v>23</v>
      </c>
      <c r="B33" s="171" t="s">
        <v>60</v>
      </c>
      <c r="C33" s="171"/>
      <c r="D33" s="35"/>
      <c r="E33" s="49" t="s">
        <v>50</v>
      </c>
    </row>
    <row r="34" spans="1:5" ht="25.05" customHeight="1" x14ac:dyDescent="0.3">
      <c r="A34" s="38"/>
      <c r="B34" s="36" t="s">
        <v>55</v>
      </c>
      <c r="C34" s="51" t="s">
        <v>61</v>
      </c>
      <c r="D34" s="31">
        <f>1000*22555.7</f>
        <v>22555700</v>
      </c>
      <c r="E34" s="50"/>
    </row>
    <row r="35" spans="1:5" ht="29.4" customHeight="1" x14ac:dyDescent="0.3">
      <c r="A35" s="38"/>
      <c r="B35" s="36" t="s">
        <v>62</v>
      </c>
      <c r="C35" s="51" t="s">
        <v>63</v>
      </c>
      <c r="D35" s="31">
        <f>1000*10949.4</f>
        <v>10949400</v>
      </c>
      <c r="E35" s="50"/>
    </row>
    <row r="36" spans="1:5" ht="25.05" customHeight="1" x14ac:dyDescent="0.3">
      <c r="A36" s="45">
        <v>24</v>
      </c>
      <c r="B36" s="168" t="s">
        <v>64</v>
      </c>
      <c r="C36" s="168"/>
      <c r="D36" s="37"/>
      <c r="E36" s="49" t="s">
        <v>50</v>
      </c>
    </row>
    <row r="37" spans="1:5" ht="25.05" customHeight="1" x14ac:dyDescent="0.3">
      <c r="A37" s="38"/>
      <c r="B37" s="36" t="s">
        <v>55</v>
      </c>
      <c r="C37" s="51" t="s">
        <v>61</v>
      </c>
      <c r="D37" s="31">
        <f>1000*14485.4</f>
        <v>14485400</v>
      </c>
      <c r="E37" s="50"/>
    </row>
    <row r="38" spans="1:5" ht="30.6" customHeight="1" x14ac:dyDescent="0.3">
      <c r="A38" s="38"/>
      <c r="B38" s="36" t="s">
        <v>62</v>
      </c>
      <c r="C38" s="51" t="s">
        <v>63</v>
      </c>
      <c r="D38" s="31">
        <f>1000*7991</f>
        <v>7991000</v>
      </c>
      <c r="E38" s="50"/>
    </row>
    <row r="39" spans="1:5" ht="25.05" customHeight="1" x14ac:dyDescent="0.3">
      <c r="A39" s="45">
        <v>25</v>
      </c>
      <c r="B39" s="168" t="s">
        <v>65</v>
      </c>
      <c r="C39" s="168"/>
      <c r="D39" s="39"/>
      <c r="E39" s="49" t="s">
        <v>50</v>
      </c>
    </row>
    <row r="40" spans="1:5" ht="25.05" customHeight="1" x14ac:dyDescent="0.3">
      <c r="A40" s="38"/>
      <c r="B40" s="36" t="s">
        <v>55</v>
      </c>
      <c r="C40" s="18" t="s">
        <v>61</v>
      </c>
      <c r="D40" s="31">
        <f>1000*16533</f>
        <v>16533000</v>
      </c>
      <c r="E40" s="51"/>
    </row>
    <row r="41" spans="1:5" ht="25.05" customHeight="1" x14ac:dyDescent="0.3">
      <c r="A41" s="45">
        <v>26</v>
      </c>
      <c r="B41" s="168" t="s">
        <v>66</v>
      </c>
      <c r="C41" s="168"/>
      <c r="D41" s="31"/>
      <c r="E41" s="49" t="s">
        <v>50</v>
      </c>
    </row>
    <row r="42" spans="1:5" ht="34.799999999999997" customHeight="1" x14ac:dyDescent="0.3">
      <c r="A42" s="45"/>
      <c r="B42" s="26" t="s">
        <v>89</v>
      </c>
      <c r="C42" s="82" t="s">
        <v>87</v>
      </c>
      <c r="D42" s="40">
        <f>1000*5184</f>
        <v>5184000</v>
      </c>
      <c r="E42" s="49"/>
    </row>
    <row r="43" spans="1:5" ht="31.8" customHeight="1" x14ac:dyDescent="0.3">
      <c r="A43" s="45"/>
      <c r="B43" s="26" t="s">
        <v>90</v>
      </c>
      <c r="C43" s="82" t="s">
        <v>88</v>
      </c>
      <c r="D43" s="20">
        <f>1000*24634</f>
        <v>24634000</v>
      </c>
      <c r="E43" s="49"/>
    </row>
    <row r="44" spans="1:5" ht="25.05" customHeight="1" x14ac:dyDescent="0.3">
      <c r="A44" s="4">
        <v>27</v>
      </c>
      <c r="B44" s="169" t="s">
        <v>67</v>
      </c>
      <c r="C44" s="169"/>
      <c r="D44" s="16"/>
      <c r="E44" s="49" t="s">
        <v>50</v>
      </c>
    </row>
    <row r="45" spans="1:5" ht="25.05" customHeight="1" x14ac:dyDescent="0.3">
      <c r="A45" s="3"/>
      <c r="B45" s="13" t="s">
        <v>68</v>
      </c>
      <c r="C45" s="3" t="s">
        <v>69</v>
      </c>
      <c r="D45" s="17">
        <f>1000*30636</f>
        <v>30636000</v>
      </c>
      <c r="E45" s="1"/>
    </row>
    <row r="46" spans="1:5" ht="25.05" customHeight="1" x14ac:dyDescent="0.3">
      <c r="A46" s="4">
        <v>28</v>
      </c>
      <c r="B46" s="169" t="s">
        <v>70</v>
      </c>
      <c r="C46" s="169"/>
      <c r="D46" s="16"/>
      <c r="E46" s="1"/>
    </row>
    <row r="47" spans="1:5" ht="25.05" customHeight="1" x14ac:dyDescent="0.3">
      <c r="A47" s="3"/>
      <c r="B47" s="13" t="s">
        <v>51</v>
      </c>
      <c r="C47" s="1" t="s">
        <v>71</v>
      </c>
      <c r="D47" s="17">
        <f>1000*79582</f>
        <v>79582000</v>
      </c>
      <c r="E47" s="49" t="s">
        <v>50</v>
      </c>
    </row>
    <row r="48" spans="1:5" ht="25.05" customHeight="1" x14ac:dyDescent="0.3">
      <c r="A48" s="4">
        <v>29</v>
      </c>
      <c r="B48" s="169" t="s">
        <v>72</v>
      </c>
      <c r="C48" s="169"/>
      <c r="D48" s="16"/>
      <c r="E48" s="49" t="s">
        <v>50</v>
      </c>
    </row>
    <row r="49" spans="1:5" ht="25.05" customHeight="1" x14ac:dyDescent="0.3">
      <c r="A49" s="3"/>
      <c r="B49" s="103" t="s">
        <v>73</v>
      </c>
      <c r="C49" s="3"/>
      <c r="D49" s="41">
        <f>1000*20616</f>
        <v>20616000</v>
      </c>
      <c r="E49" s="1"/>
    </row>
    <row r="50" spans="1:5" ht="25.05" customHeight="1" x14ac:dyDescent="0.3">
      <c r="A50" s="3"/>
      <c r="B50" s="103" t="s">
        <v>74</v>
      </c>
      <c r="C50" s="3"/>
      <c r="D50" s="41">
        <f>1000*10308</f>
        <v>10308000</v>
      </c>
      <c r="E50" s="1"/>
    </row>
    <row r="51" spans="1:5" ht="25.05" customHeight="1" x14ac:dyDescent="0.3">
      <c r="A51" s="4">
        <v>30</v>
      </c>
      <c r="B51" s="169" t="s">
        <v>77</v>
      </c>
      <c r="C51" s="169"/>
      <c r="D51" s="53"/>
      <c r="E51" s="49" t="s">
        <v>50</v>
      </c>
    </row>
    <row r="52" spans="1:5" ht="25.05" customHeight="1" x14ac:dyDescent="0.3">
      <c r="A52" s="3"/>
      <c r="B52" s="28" t="s">
        <v>75</v>
      </c>
      <c r="C52" s="18" t="s">
        <v>53</v>
      </c>
      <c r="D52" s="20">
        <f>1000*5484</f>
        <v>5484000</v>
      </c>
      <c r="E52" s="1"/>
    </row>
    <row r="53" spans="1:5" ht="25.05" customHeight="1" x14ac:dyDescent="0.3">
      <c r="A53" s="3"/>
      <c r="B53" s="28" t="s">
        <v>76</v>
      </c>
      <c r="C53" s="18" t="s">
        <v>78</v>
      </c>
      <c r="D53" s="20">
        <f>1000*1270</f>
        <v>1270000</v>
      </c>
      <c r="E53" s="1"/>
    </row>
    <row r="54" spans="1:5" ht="25.05" customHeight="1" x14ac:dyDescent="0.3">
      <c r="A54" s="4">
        <v>31</v>
      </c>
      <c r="B54" s="169" t="s">
        <v>79</v>
      </c>
      <c r="C54" s="169"/>
      <c r="D54" s="16"/>
      <c r="E54" s="49" t="s">
        <v>50</v>
      </c>
    </row>
    <row r="55" spans="1:5" ht="32.4" customHeight="1" x14ac:dyDescent="0.3">
      <c r="A55" s="3"/>
      <c r="B55" s="26" t="s">
        <v>106</v>
      </c>
      <c r="C55" s="18" t="s">
        <v>80</v>
      </c>
      <c r="D55" s="20">
        <f>1000*4935</f>
        <v>4935000</v>
      </c>
      <c r="E55" s="1"/>
    </row>
    <row r="56" spans="1:5" ht="25.05" customHeight="1" x14ac:dyDescent="0.3">
      <c r="A56" s="3"/>
      <c r="B56" s="26" t="s">
        <v>107</v>
      </c>
      <c r="C56" s="19" t="s">
        <v>81</v>
      </c>
      <c r="D56" s="21">
        <f>1000*4935</f>
        <v>4935000</v>
      </c>
      <c r="E56" s="1"/>
    </row>
    <row r="57" spans="1:5" ht="25.05" customHeight="1" x14ac:dyDescent="0.3">
      <c r="A57" s="4">
        <v>32</v>
      </c>
      <c r="B57" s="169" t="s">
        <v>82</v>
      </c>
      <c r="C57" s="169"/>
      <c r="D57" s="16"/>
      <c r="E57" s="49" t="s">
        <v>50</v>
      </c>
    </row>
    <row r="58" spans="1:5" ht="25.05" customHeight="1" x14ac:dyDescent="0.3">
      <c r="A58" s="3"/>
      <c r="B58" s="26" t="s">
        <v>75</v>
      </c>
      <c r="C58" s="18" t="s">
        <v>53</v>
      </c>
      <c r="D58" s="22">
        <f>5756*1000</f>
        <v>5756000</v>
      </c>
      <c r="E58" s="1"/>
    </row>
    <row r="59" spans="1:5" ht="25.05" customHeight="1" x14ac:dyDescent="0.3">
      <c r="A59" s="3"/>
      <c r="B59" s="26" t="s">
        <v>76</v>
      </c>
      <c r="C59" s="18" t="s">
        <v>78</v>
      </c>
      <c r="D59" s="22">
        <f>2666*1000</f>
        <v>2666000</v>
      </c>
      <c r="E59" s="1"/>
    </row>
    <row r="60" spans="1:5" ht="32.4" customHeight="1" x14ac:dyDescent="0.3">
      <c r="A60" s="4">
        <v>33</v>
      </c>
      <c r="B60" s="164" t="s">
        <v>116</v>
      </c>
      <c r="C60" s="165"/>
      <c r="D60" s="22"/>
      <c r="E60" s="1"/>
    </row>
    <row r="61" spans="1:5" ht="25.05" customHeight="1" x14ac:dyDescent="0.3">
      <c r="A61" s="3"/>
      <c r="B61" s="26" t="s">
        <v>68</v>
      </c>
      <c r="C61" s="18"/>
      <c r="D61" s="22">
        <f>1000*19063</f>
        <v>19063000</v>
      </c>
      <c r="E61" s="1" t="s">
        <v>50</v>
      </c>
    </row>
    <row r="62" spans="1:5" ht="25.05" customHeight="1" x14ac:dyDescent="0.3">
      <c r="A62" s="4">
        <v>34</v>
      </c>
      <c r="B62" s="169" t="s">
        <v>83</v>
      </c>
      <c r="C62" s="169"/>
      <c r="D62" s="15"/>
      <c r="E62" s="49" t="s">
        <v>50</v>
      </c>
    </row>
    <row r="63" spans="1:5" ht="25.05" customHeight="1" x14ac:dyDescent="0.3">
      <c r="A63" s="3"/>
      <c r="B63" s="13" t="s">
        <v>84</v>
      </c>
      <c r="C63" s="3"/>
      <c r="D63" s="17">
        <f>1000*18273</f>
        <v>18273000</v>
      </c>
      <c r="E63" s="1"/>
    </row>
    <row r="64" spans="1:5" ht="25.05" customHeight="1" x14ac:dyDescent="0.3">
      <c r="A64" s="4">
        <v>35</v>
      </c>
      <c r="B64" s="169" t="s">
        <v>85</v>
      </c>
      <c r="C64" s="169"/>
      <c r="D64" s="16"/>
      <c r="E64" s="55" t="s">
        <v>102</v>
      </c>
    </row>
    <row r="65" spans="1:5" ht="31.8" customHeight="1" x14ac:dyDescent="0.3">
      <c r="A65" s="3"/>
      <c r="B65" s="13" t="s">
        <v>68</v>
      </c>
      <c r="C65" s="1" t="s">
        <v>86</v>
      </c>
      <c r="D65" s="17">
        <f>1000*131633</f>
        <v>131633000</v>
      </c>
      <c r="E65" s="1" t="s">
        <v>103</v>
      </c>
    </row>
    <row r="66" spans="1:5" ht="48.6" customHeight="1" x14ac:dyDescent="0.3">
      <c r="A66" s="4">
        <v>36</v>
      </c>
      <c r="B66" s="162" t="s">
        <v>115</v>
      </c>
      <c r="C66" s="163"/>
      <c r="D66" s="17">
        <f>1000*30290</f>
        <v>30290000</v>
      </c>
      <c r="E66" s="55" t="s">
        <v>50</v>
      </c>
    </row>
    <row r="67" spans="1:5" ht="25.05" customHeight="1" x14ac:dyDescent="0.3">
      <c r="A67" s="3"/>
      <c r="B67" s="13" t="s">
        <v>68</v>
      </c>
      <c r="C67" s="1" t="s">
        <v>86</v>
      </c>
      <c r="D67" s="17"/>
      <c r="E67" s="1"/>
    </row>
    <row r="68" spans="1:5" ht="25.05" customHeight="1" x14ac:dyDescent="0.3">
      <c r="A68" s="4">
        <v>37</v>
      </c>
      <c r="B68" s="175" t="s">
        <v>91</v>
      </c>
      <c r="C68" s="175"/>
      <c r="D68" s="17"/>
      <c r="E68" s="55" t="s">
        <v>50</v>
      </c>
    </row>
    <row r="69" spans="1:5" ht="25.05" customHeight="1" x14ac:dyDescent="0.3">
      <c r="A69" s="3"/>
      <c r="B69" s="13" t="s">
        <v>68</v>
      </c>
      <c r="C69" s="3" t="s">
        <v>92</v>
      </c>
      <c r="D69" s="42">
        <f>1000*16235</f>
        <v>16235000</v>
      </c>
      <c r="E69" s="1" t="s">
        <v>104</v>
      </c>
    </row>
    <row r="70" spans="1:5" ht="25.05" customHeight="1" x14ac:dyDescent="0.3">
      <c r="A70" s="4">
        <v>38</v>
      </c>
      <c r="B70" s="174" t="s">
        <v>93</v>
      </c>
      <c r="C70" s="174"/>
      <c r="D70" s="47"/>
      <c r="E70" s="55" t="s">
        <v>102</v>
      </c>
    </row>
    <row r="71" spans="1:5" ht="30" customHeight="1" x14ac:dyDescent="0.3">
      <c r="A71" s="3"/>
      <c r="B71" s="13" t="s">
        <v>68</v>
      </c>
      <c r="C71" s="3" t="s">
        <v>95</v>
      </c>
      <c r="D71" s="42">
        <f>1000*15797</f>
        <v>15797000</v>
      </c>
      <c r="E71" s="1" t="s">
        <v>105</v>
      </c>
    </row>
    <row r="72" spans="1:5" ht="25.05" customHeight="1" x14ac:dyDescent="0.3">
      <c r="A72" s="4">
        <v>39</v>
      </c>
      <c r="B72" s="174" t="s">
        <v>94</v>
      </c>
      <c r="C72" s="174"/>
      <c r="D72" s="47"/>
      <c r="E72" s="55" t="s">
        <v>102</v>
      </c>
    </row>
    <row r="73" spans="1:5" ht="31.2" customHeight="1" x14ac:dyDescent="0.3">
      <c r="A73" s="3"/>
      <c r="B73" s="13" t="s">
        <v>68</v>
      </c>
      <c r="C73" s="3" t="s">
        <v>95</v>
      </c>
      <c r="D73" s="42">
        <f>1000*14194</f>
        <v>14194000</v>
      </c>
      <c r="E73" s="1" t="s">
        <v>105</v>
      </c>
    </row>
    <row r="74" spans="1:5" ht="25.05" customHeight="1" x14ac:dyDescent="0.3">
      <c r="A74" s="4">
        <v>40</v>
      </c>
      <c r="B74" s="169" t="s">
        <v>96</v>
      </c>
      <c r="C74" s="169"/>
      <c r="D74" s="16"/>
      <c r="E74" s="1" t="s">
        <v>102</v>
      </c>
    </row>
    <row r="75" spans="1:5" ht="32.4" customHeight="1" x14ac:dyDescent="0.3">
      <c r="A75" s="3"/>
      <c r="B75" s="13" t="s">
        <v>68</v>
      </c>
      <c r="C75" s="3" t="s">
        <v>95</v>
      </c>
      <c r="D75" s="42">
        <f>1000*16225</f>
        <v>16225000</v>
      </c>
      <c r="E75" s="1" t="s">
        <v>105</v>
      </c>
    </row>
    <row r="76" spans="1:5" ht="25.05" customHeight="1" x14ac:dyDescent="0.3">
      <c r="A76" s="4">
        <v>41</v>
      </c>
      <c r="B76" s="174" t="s">
        <v>98</v>
      </c>
      <c r="C76" s="174"/>
      <c r="D76" s="47"/>
      <c r="E76" s="55" t="s">
        <v>102</v>
      </c>
    </row>
    <row r="77" spans="1:5" ht="34.200000000000003" customHeight="1" x14ac:dyDescent="0.3">
      <c r="A77" s="3"/>
      <c r="B77" s="13" t="s">
        <v>68</v>
      </c>
      <c r="C77" s="3" t="s">
        <v>95</v>
      </c>
      <c r="D77" s="42">
        <f>1000*16652</f>
        <v>16652000</v>
      </c>
      <c r="E77" s="1" t="s">
        <v>105</v>
      </c>
    </row>
    <row r="78" spans="1:5" ht="25.05" customHeight="1" x14ac:dyDescent="0.3">
      <c r="A78" s="4">
        <v>42</v>
      </c>
      <c r="B78" s="174" t="s">
        <v>97</v>
      </c>
      <c r="C78" s="174"/>
      <c r="D78" s="47"/>
      <c r="E78" s="55" t="s">
        <v>102</v>
      </c>
    </row>
    <row r="79" spans="1:5" ht="32.4" customHeight="1" x14ac:dyDescent="0.3">
      <c r="A79" s="3"/>
      <c r="B79" s="13" t="s">
        <v>68</v>
      </c>
      <c r="C79" s="3" t="s">
        <v>99</v>
      </c>
      <c r="D79" s="48">
        <f>1000*18079</f>
        <v>18079000</v>
      </c>
      <c r="E79" s="1" t="s">
        <v>105</v>
      </c>
    </row>
    <row r="80" spans="1:5" ht="30.6" customHeight="1" x14ac:dyDescent="0.3">
      <c r="A80" s="4">
        <v>43</v>
      </c>
      <c r="B80" s="174" t="s">
        <v>100</v>
      </c>
      <c r="C80" s="174"/>
      <c r="D80" s="47"/>
      <c r="E80" s="55" t="s">
        <v>102</v>
      </c>
    </row>
    <row r="81" spans="1:5" ht="33" customHeight="1" x14ac:dyDescent="0.3">
      <c r="A81" s="3"/>
      <c r="B81" s="13" t="s">
        <v>68</v>
      </c>
      <c r="C81" s="3" t="s">
        <v>101</v>
      </c>
      <c r="D81" s="48">
        <f>1000*18835</f>
        <v>18835000</v>
      </c>
      <c r="E81" s="1" t="s">
        <v>105</v>
      </c>
    </row>
    <row r="82" spans="1:5" s="72" customFormat="1" ht="25.05" customHeight="1" x14ac:dyDescent="0.3">
      <c r="A82" s="4">
        <v>44</v>
      </c>
      <c r="B82" s="166" t="s">
        <v>311</v>
      </c>
      <c r="C82" s="167"/>
      <c r="D82" s="55"/>
      <c r="E82" s="55" t="s">
        <v>102</v>
      </c>
    </row>
    <row r="83" spans="1:5" ht="30" customHeight="1" x14ac:dyDescent="0.3">
      <c r="A83" s="3"/>
      <c r="B83" s="13" t="s">
        <v>68</v>
      </c>
      <c r="C83" s="3" t="s">
        <v>114</v>
      </c>
      <c r="D83" s="17">
        <f>1000*12378</f>
        <v>12378000</v>
      </c>
      <c r="E83" s="1" t="s">
        <v>105</v>
      </c>
    </row>
    <row r="84" spans="1:5" ht="22.8" customHeight="1" x14ac:dyDescent="0.3">
      <c r="A84" s="63"/>
      <c r="B84" s="62" t="s">
        <v>183</v>
      </c>
      <c r="C84" s="62"/>
      <c r="D84" s="64">
        <f>SUM(D7:D83)</f>
        <v>1215944500</v>
      </c>
      <c r="E84" s="63"/>
    </row>
    <row r="86" spans="1:5" ht="15.6" x14ac:dyDescent="0.3">
      <c r="D86" s="161" t="s">
        <v>308</v>
      </c>
      <c r="E86" s="161"/>
    </row>
    <row r="90" spans="1:5" x14ac:dyDescent="0.3">
      <c r="D90" s="74"/>
    </row>
  </sheetData>
  <mergeCells count="30">
    <mergeCell ref="D3:E3"/>
    <mergeCell ref="A4:E4"/>
    <mergeCell ref="B80:C80"/>
    <mergeCell ref="B51:C51"/>
    <mergeCell ref="B54:C54"/>
    <mergeCell ref="B57:C57"/>
    <mergeCell ref="B62:C62"/>
    <mergeCell ref="B64:C64"/>
    <mergeCell ref="B68:C68"/>
    <mergeCell ref="B70:C70"/>
    <mergeCell ref="B72:C72"/>
    <mergeCell ref="B74:C74"/>
    <mergeCell ref="B76:C76"/>
    <mergeCell ref="B78:C78"/>
    <mergeCell ref="B48:C48"/>
    <mergeCell ref="E7:E23"/>
    <mergeCell ref="B25:C25"/>
    <mergeCell ref="B27:C27"/>
    <mergeCell ref="B29:C29"/>
    <mergeCell ref="B31:C31"/>
    <mergeCell ref="B33:C33"/>
    <mergeCell ref="D86:E86"/>
    <mergeCell ref="B66:C66"/>
    <mergeCell ref="B60:C60"/>
    <mergeCell ref="B82:C82"/>
    <mergeCell ref="B36:C36"/>
    <mergeCell ref="B39:C39"/>
    <mergeCell ref="B41:C41"/>
    <mergeCell ref="B44:C44"/>
    <mergeCell ref="B46:C46"/>
  </mergeCells>
  <pageMargins left="0.45" right="0.25" top="0.5" bottom="0.25" header="0.3" footer="0.3"/>
  <pageSetup paperSize="9" scale="90"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6"/>
  <sheetViews>
    <sheetView topLeftCell="A40" workbookViewId="0">
      <selection activeCell="E40" sqref="E40:E50"/>
    </sheetView>
  </sheetViews>
  <sheetFormatPr defaultRowHeight="15.6" x14ac:dyDescent="0.3"/>
  <cols>
    <col min="1" max="1" width="6.21875" style="104" customWidth="1"/>
    <col min="2" max="2" width="44.5546875" style="105" customWidth="1"/>
    <col min="3" max="4" width="20.109375" style="105" customWidth="1"/>
    <col min="5" max="5" width="19.77734375" style="105" customWidth="1"/>
    <col min="6" max="6" width="16.109375" style="105" hidden="1" customWidth="1"/>
    <col min="7" max="7" width="16.5546875" style="105" hidden="1" customWidth="1"/>
    <col min="8" max="9" width="15.44140625" style="105" hidden="1" customWidth="1"/>
    <col min="10" max="10" width="3.44140625" style="105" hidden="1" customWidth="1"/>
    <col min="11" max="11" width="20.21875" style="105" customWidth="1"/>
    <col min="12" max="12" width="14.5546875" style="105" customWidth="1"/>
    <col min="13" max="16384" width="8.88671875" style="105"/>
  </cols>
  <sheetData>
    <row r="1" spans="1:12" x14ac:dyDescent="0.3">
      <c r="B1" s="76" t="s">
        <v>306</v>
      </c>
      <c r="C1" s="131"/>
    </row>
    <row r="2" spans="1:12" x14ac:dyDescent="0.3">
      <c r="B2" s="76" t="s">
        <v>307</v>
      </c>
      <c r="C2" s="131"/>
    </row>
    <row r="3" spans="1:12" ht="16.2" x14ac:dyDescent="0.3">
      <c r="J3" s="179"/>
      <c r="K3" s="179"/>
    </row>
    <row r="4" spans="1:12" x14ac:dyDescent="0.3">
      <c r="A4" s="161" t="s">
        <v>315</v>
      </c>
      <c r="B4" s="161"/>
      <c r="C4" s="161"/>
      <c r="D4" s="161"/>
      <c r="E4" s="161"/>
      <c r="F4" s="161"/>
      <c r="G4" s="161"/>
      <c r="H4" s="161"/>
      <c r="I4" s="161"/>
      <c r="J4" s="161"/>
      <c r="K4" s="161"/>
      <c r="L4" s="161"/>
    </row>
    <row r="5" spans="1:12" x14ac:dyDescent="0.3">
      <c r="J5" s="180" t="s">
        <v>309</v>
      </c>
      <c r="K5" s="180"/>
      <c r="L5" s="180"/>
    </row>
    <row r="6" spans="1:12" s="108" customFormat="1" ht="13.8" x14ac:dyDescent="0.3">
      <c r="A6" s="190" t="s">
        <v>0</v>
      </c>
      <c r="B6" s="182" t="s">
        <v>190</v>
      </c>
      <c r="C6" s="193" t="s">
        <v>191</v>
      </c>
      <c r="D6" s="177" t="s">
        <v>192</v>
      </c>
      <c r="E6" s="177" t="s">
        <v>193</v>
      </c>
      <c r="F6" s="187" t="s">
        <v>194</v>
      </c>
      <c r="G6" s="188"/>
      <c r="H6" s="188"/>
      <c r="I6" s="188"/>
      <c r="J6" s="189"/>
      <c r="K6" s="177" t="s">
        <v>195</v>
      </c>
      <c r="L6" s="182" t="s">
        <v>5</v>
      </c>
    </row>
    <row r="7" spans="1:12" s="108" customFormat="1" ht="14.4" customHeight="1" x14ac:dyDescent="0.3">
      <c r="A7" s="191"/>
      <c r="B7" s="183"/>
      <c r="C7" s="193"/>
      <c r="D7" s="181"/>
      <c r="E7" s="181"/>
      <c r="F7" s="185" t="s">
        <v>196</v>
      </c>
      <c r="G7" s="185" t="s">
        <v>161</v>
      </c>
      <c r="H7" s="181" t="s">
        <v>120</v>
      </c>
      <c r="I7" s="177" t="s">
        <v>122</v>
      </c>
      <c r="J7" s="177" t="s">
        <v>117</v>
      </c>
      <c r="K7" s="181"/>
      <c r="L7" s="183"/>
    </row>
    <row r="8" spans="1:12" s="108" customFormat="1" ht="13.8" x14ac:dyDescent="0.3">
      <c r="A8" s="192"/>
      <c r="B8" s="184"/>
      <c r="C8" s="193"/>
      <c r="D8" s="178"/>
      <c r="E8" s="178"/>
      <c r="F8" s="186"/>
      <c r="G8" s="186"/>
      <c r="H8" s="178"/>
      <c r="I8" s="178"/>
      <c r="J8" s="178"/>
      <c r="K8" s="178"/>
      <c r="L8" s="184"/>
    </row>
    <row r="9" spans="1:12" s="113" customFormat="1" ht="19.8" customHeight="1" x14ac:dyDescent="0.3">
      <c r="A9" s="109" t="s">
        <v>2</v>
      </c>
      <c r="B9" s="110" t="s">
        <v>197</v>
      </c>
      <c r="C9" s="111">
        <f>SUM(C10:C13)</f>
        <v>12069353000</v>
      </c>
      <c r="D9" s="111">
        <f t="shared" ref="D9:K9" si="0">SUM(D10:D13)</f>
        <v>10426673000</v>
      </c>
      <c r="E9" s="111">
        <f t="shared" si="0"/>
        <v>10027026000</v>
      </c>
      <c r="F9" s="111">
        <f t="shared" si="0"/>
        <v>9942155000</v>
      </c>
      <c r="G9" s="111">
        <f t="shared" si="0"/>
        <v>84871000</v>
      </c>
      <c r="H9" s="111">
        <f t="shared" si="0"/>
        <v>0</v>
      </c>
      <c r="I9" s="111">
        <f t="shared" si="0"/>
        <v>0</v>
      </c>
      <c r="J9" s="111">
        <f t="shared" si="0"/>
        <v>0</v>
      </c>
      <c r="K9" s="111">
        <f t="shared" si="0"/>
        <v>399647000</v>
      </c>
      <c r="L9" s="112"/>
    </row>
    <row r="10" spans="1:12" s="108" customFormat="1" ht="19.8" customHeight="1" x14ac:dyDescent="0.3">
      <c r="A10" s="114">
        <v>1</v>
      </c>
      <c r="B10" s="115" t="s">
        <v>198</v>
      </c>
      <c r="C10" s="116">
        <f>1000*4021776</f>
        <v>4021776000</v>
      </c>
      <c r="D10" s="116">
        <f>1000*3641780</f>
        <v>3641780000</v>
      </c>
      <c r="E10" s="116">
        <f>SUM(F10:J10)</f>
        <v>3424400000</v>
      </c>
      <c r="F10" s="116">
        <f>1000*3355000</f>
        <v>3355000000</v>
      </c>
      <c r="G10" s="116">
        <f>1000*69400</f>
        <v>69400000</v>
      </c>
      <c r="H10" s="116"/>
      <c r="I10" s="116"/>
      <c r="J10" s="116"/>
      <c r="K10" s="117">
        <f t="shared" ref="K10:K18" si="1">D10-E10</f>
        <v>217380000</v>
      </c>
      <c r="L10" s="118" t="s">
        <v>199</v>
      </c>
    </row>
    <row r="11" spans="1:12" s="108" customFormat="1" ht="19.8" customHeight="1" x14ac:dyDescent="0.3">
      <c r="A11" s="114">
        <v>2</v>
      </c>
      <c r="B11" s="119" t="s">
        <v>200</v>
      </c>
      <c r="C11" s="116">
        <f>1000*680000</f>
        <v>680000000</v>
      </c>
      <c r="D11" s="116">
        <f>(628700+17000)*1000</f>
        <v>645700000</v>
      </c>
      <c r="E11" s="116">
        <f>SUM(F11:J11)</f>
        <v>628700000</v>
      </c>
      <c r="F11" s="116">
        <f>1000*628700</f>
        <v>628700000</v>
      </c>
      <c r="G11" s="116">
        <v>0</v>
      </c>
      <c r="H11" s="116"/>
      <c r="I11" s="116"/>
      <c r="J11" s="116"/>
      <c r="K11" s="117">
        <f t="shared" si="1"/>
        <v>17000000</v>
      </c>
      <c r="L11" s="118" t="s">
        <v>199</v>
      </c>
    </row>
    <row r="12" spans="1:12" s="108" customFormat="1" ht="27.6" x14ac:dyDescent="0.3">
      <c r="A12" s="114">
        <v>3</v>
      </c>
      <c r="B12" s="119" t="s">
        <v>201</v>
      </c>
      <c r="C12" s="116">
        <f>1000*1167577</f>
        <v>1167577000</v>
      </c>
      <c r="D12" s="116">
        <f>1000*1056830</f>
        <v>1056830000</v>
      </c>
      <c r="E12" s="116">
        <f>SUM(F12:J12)</f>
        <v>1027471000</v>
      </c>
      <c r="F12" s="116">
        <f>1000*1012000</f>
        <v>1012000000</v>
      </c>
      <c r="G12" s="116">
        <f>1000*15471</f>
        <v>15471000</v>
      </c>
      <c r="H12" s="116"/>
      <c r="I12" s="116"/>
      <c r="J12" s="116"/>
      <c r="K12" s="117">
        <f t="shared" si="1"/>
        <v>29359000</v>
      </c>
      <c r="L12" s="118" t="s">
        <v>199</v>
      </c>
    </row>
    <row r="13" spans="1:12" s="108" customFormat="1" ht="19.2" customHeight="1" x14ac:dyDescent="0.3">
      <c r="A13" s="114">
        <v>4</v>
      </c>
      <c r="B13" s="120" t="s">
        <v>202</v>
      </c>
      <c r="C13" s="121">
        <f>1000*6200000</f>
        <v>6200000000</v>
      </c>
      <c r="D13" s="121">
        <f>1000*5082363</f>
        <v>5082363000</v>
      </c>
      <c r="E13" s="116">
        <f>SUM(F13:J13)</f>
        <v>4946455000</v>
      </c>
      <c r="F13" s="121">
        <f>1000*4946455</f>
        <v>4946455000</v>
      </c>
      <c r="G13" s="121">
        <v>0</v>
      </c>
      <c r="H13" s="116"/>
      <c r="I13" s="116"/>
      <c r="J13" s="116"/>
      <c r="K13" s="117">
        <f t="shared" si="1"/>
        <v>135908000</v>
      </c>
      <c r="L13" s="118" t="s">
        <v>199</v>
      </c>
    </row>
    <row r="14" spans="1:12" s="113" customFormat="1" ht="19.2" customHeight="1" x14ac:dyDescent="0.3">
      <c r="A14" s="109" t="s">
        <v>3</v>
      </c>
      <c r="B14" s="122" t="s">
        <v>203</v>
      </c>
      <c r="C14" s="123">
        <f>SUM(C15:C18)</f>
        <v>7731619000</v>
      </c>
      <c r="D14" s="123">
        <f t="shared" ref="D14:J14" si="2">SUM(D15:D18)</f>
        <v>6898477000</v>
      </c>
      <c r="E14" s="123">
        <f t="shared" si="2"/>
        <v>6687725000</v>
      </c>
      <c r="F14" s="123">
        <f t="shared" si="2"/>
        <v>6122805000</v>
      </c>
      <c r="G14" s="123">
        <f t="shared" si="2"/>
        <v>564920000</v>
      </c>
      <c r="H14" s="123">
        <f t="shared" si="2"/>
        <v>0</v>
      </c>
      <c r="I14" s="123">
        <f t="shared" si="2"/>
        <v>0</v>
      </c>
      <c r="J14" s="123">
        <f t="shared" si="2"/>
        <v>0</v>
      </c>
      <c r="K14" s="111">
        <f t="shared" si="1"/>
        <v>210752000</v>
      </c>
      <c r="L14" s="112" t="s">
        <v>199</v>
      </c>
    </row>
    <row r="15" spans="1:12" s="108" customFormat="1" ht="27.6" x14ac:dyDescent="0.3">
      <c r="A15" s="114">
        <v>5</v>
      </c>
      <c r="B15" s="115" t="s">
        <v>204</v>
      </c>
      <c r="C15" s="116">
        <f>1000*810294</f>
        <v>810294000</v>
      </c>
      <c r="D15" s="116">
        <f>1000*405554</f>
        <v>405554000</v>
      </c>
      <c r="E15" s="116">
        <f>SUM(F15:J15)</f>
        <v>358922000</v>
      </c>
      <c r="F15" s="116">
        <f>1000*358922</f>
        <v>358922000</v>
      </c>
      <c r="G15" s="116">
        <v>0</v>
      </c>
      <c r="H15" s="116"/>
      <c r="I15" s="116"/>
      <c r="J15" s="116"/>
      <c r="K15" s="117">
        <f t="shared" si="1"/>
        <v>46632000</v>
      </c>
      <c r="L15" s="118" t="s">
        <v>199</v>
      </c>
    </row>
    <row r="16" spans="1:12" s="108" customFormat="1" ht="27.6" x14ac:dyDescent="0.3">
      <c r="A16" s="114">
        <v>6</v>
      </c>
      <c r="B16" s="115" t="s">
        <v>205</v>
      </c>
      <c r="C16" s="116">
        <f>1000*5044908</f>
        <v>5044908000</v>
      </c>
      <c r="D16" s="116">
        <f>1000*4722494</f>
        <v>4722494000</v>
      </c>
      <c r="E16" s="116">
        <f>SUM(F16:J16)</f>
        <v>4601217000</v>
      </c>
      <c r="F16" s="116">
        <f>1000*4308217</f>
        <v>4308217000</v>
      </c>
      <c r="G16" s="116">
        <f>1000*293000</f>
        <v>293000000</v>
      </c>
      <c r="H16" s="116"/>
      <c r="I16" s="116"/>
      <c r="J16" s="116"/>
      <c r="K16" s="117">
        <f t="shared" si="1"/>
        <v>121277000</v>
      </c>
      <c r="L16" s="118" t="s">
        <v>199</v>
      </c>
    </row>
    <row r="17" spans="1:12" s="108" customFormat="1" ht="27.6" x14ac:dyDescent="0.3">
      <c r="A17" s="114">
        <v>7</v>
      </c>
      <c r="B17" s="115" t="s">
        <v>206</v>
      </c>
      <c r="C17" s="116">
        <f>1000*680000</f>
        <v>680000000</v>
      </c>
      <c r="D17" s="116">
        <f>1000*(645835+15415)</f>
        <v>661250000</v>
      </c>
      <c r="E17" s="116">
        <f>SUM(F17:J17)</f>
        <v>635117000</v>
      </c>
      <c r="F17" s="116">
        <f>1000*455666</f>
        <v>455666000</v>
      </c>
      <c r="G17" s="116">
        <f>1000*179451</f>
        <v>179451000</v>
      </c>
      <c r="H17" s="116"/>
      <c r="I17" s="116"/>
      <c r="J17" s="116"/>
      <c r="K17" s="117">
        <f t="shared" si="1"/>
        <v>26133000</v>
      </c>
      <c r="L17" s="118" t="s">
        <v>199</v>
      </c>
    </row>
    <row r="18" spans="1:12" s="108" customFormat="1" ht="41.4" x14ac:dyDescent="0.3">
      <c r="A18" s="114">
        <v>8</v>
      </c>
      <c r="B18" s="124" t="s">
        <v>207</v>
      </c>
      <c r="C18" s="125">
        <f>1000*1196417</f>
        <v>1196417000</v>
      </c>
      <c r="D18" s="125">
        <f>1000*1109179</f>
        <v>1109179000</v>
      </c>
      <c r="E18" s="116">
        <f>SUM(F18:J18)</f>
        <v>1092469000</v>
      </c>
      <c r="F18" s="125">
        <f>1000*1000000</f>
        <v>1000000000</v>
      </c>
      <c r="G18" s="125">
        <f>1000*92469</f>
        <v>92469000</v>
      </c>
      <c r="H18" s="116"/>
      <c r="I18" s="116"/>
      <c r="J18" s="116"/>
      <c r="K18" s="117">
        <f t="shared" si="1"/>
        <v>16710000</v>
      </c>
      <c r="L18" s="118" t="s">
        <v>199</v>
      </c>
    </row>
    <row r="19" spans="1:12" s="113" customFormat="1" ht="19.2" customHeight="1" x14ac:dyDescent="0.3">
      <c r="A19" s="109" t="s">
        <v>6</v>
      </c>
      <c r="B19" s="122" t="s">
        <v>208</v>
      </c>
      <c r="C19" s="123">
        <f>SUM(C20:C27)</f>
        <v>19032041000</v>
      </c>
      <c r="D19" s="123">
        <f t="shared" ref="D19:J19" si="3">SUM(D20:D27)</f>
        <v>17650689000</v>
      </c>
      <c r="E19" s="123">
        <f t="shared" si="3"/>
        <v>17348757000</v>
      </c>
      <c r="F19" s="123">
        <f t="shared" si="3"/>
        <v>340300000</v>
      </c>
      <c r="G19" s="123">
        <f t="shared" si="3"/>
        <v>12851121000</v>
      </c>
      <c r="H19" s="123">
        <f t="shared" si="3"/>
        <v>3836185000</v>
      </c>
      <c r="I19" s="123">
        <f t="shared" si="3"/>
        <v>166007000</v>
      </c>
      <c r="J19" s="123">
        <f t="shared" si="3"/>
        <v>155144000</v>
      </c>
      <c r="K19" s="123">
        <f>SUM(K20:K27)</f>
        <v>301932000</v>
      </c>
      <c r="L19" s="112" t="s">
        <v>199</v>
      </c>
    </row>
    <row r="20" spans="1:12" s="108" customFormat="1" ht="19.2" customHeight="1" x14ac:dyDescent="0.3">
      <c r="A20" s="114">
        <v>9</v>
      </c>
      <c r="B20" s="126" t="s">
        <v>209</v>
      </c>
      <c r="C20" s="127">
        <f>1000*4709000</f>
        <v>4709000000</v>
      </c>
      <c r="D20" s="116">
        <f>1000*4455835</f>
        <v>4455835000</v>
      </c>
      <c r="E20" s="116">
        <f t="shared" ref="E20:E27" si="4">SUM(F20:J20)</f>
        <v>4414144000</v>
      </c>
      <c r="F20" s="116">
        <v>0</v>
      </c>
      <c r="G20" s="116">
        <f>1000*3000000</f>
        <v>3000000000</v>
      </c>
      <c r="H20" s="116">
        <f>1000*1390000</f>
        <v>1390000000</v>
      </c>
      <c r="I20" s="116"/>
      <c r="J20" s="116">
        <f>1000*24144</f>
        <v>24144000</v>
      </c>
      <c r="K20" s="117">
        <f t="shared" ref="K20:K50" si="5">D20-E20</f>
        <v>41691000</v>
      </c>
      <c r="L20" s="118" t="s">
        <v>199</v>
      </c>
    </row>
    <row r="21" spans="1:12" s="108" customFormat="1" ht="19.2" customHeight="1" x14ac:dyDescent="0.3">
      <c r="A21" s="114">
        <v>10</v>
      </c>
      <c r="B21" s="126" t="s">
        <v>210</v>
      </c>
      <c r="C21" s="127">
        <f>1000*4000000</f>
        <v>4000000000</v>
      </c>
      <c r="D21" s="116">
        <f>1000*(3679360+22000)</f>
        <v>3701360000</v>
      </c>
      <c r="E21" s="116">
        <f t="shared" si="4"/>
        <v>3677284000</v>
      </c>
      <c r="F21" s="116"/>
      <c r="G21" s="116">
        <f>1000*3417318</f>
        <v>3417318000</v>
      </c>
      <c r="H21" s="116">
        <f>1000*190521</f>
        <v>190521000</v>
      </c>
      <c r="I21" s="116">
        <f>1000*69445</f>
        <v>69445000</v>
      </c>
      <c r="J21" s="116"/>
      <c r="K21" s="117">
        <f t="shared" si="5"/>
        <v>24076000</v>
      </c>
      <c r="L21" s="118" t="s">
        <v>199</v>
      </c>
    </row>
    <row r="22" spans="1:12" s="108" customFormat="1" ht="27.6" x14ac:dyDescent="0.3">
      <c r="A22" s="114">
        <v>11</v>
      </c>
      <c r="B22" s="126" t="s">
        <v>211</v>
      </c>
      <c r="C22" s="127">
        <f>1000*6000000</f>
        <v>6000000000</v>
      </c>
      <c r="D22" s="116">
        <f>1000*5499190</f>
        <v>5499190000</v>
      </c>
      <c r="E22" s="116">
        <f t="shared" si="4"/>
        <v>5451701000</v>
      </c>
      <c r="F22" s="116"/>
      <c r="G22" s="116">
        <f>1000*3571000</f>
        <v>3571000000</v>
      </c>
      <c r="H22" s="116">
        <f>1000*1880701</f>
        <v>1880701000</v>
      </c>
      <c r="I22" s="116"/>
      <c r="J22" s="116"/>
      <c r="K22" s="117">
        <f t="shared" si="5"/>
        <v>47489000</v>
      </c>
      <c r="L22" s="118" t="s">
        <v>199</v>
      </c>
    </row>
    <row r="23" spans="1:12" s="108" customFormat="1" ht="27.6" x14ac:dyDescent="0.3">
      <c r="A23" s="114">
        <v>12</v>
      </c>
      <c r="B23" s="126" t="s">
        <v>212</v>
      </c>
      <c r="C23" s="127">
        <f>1000*425000</f>
        <v>425000000</v>
      </c>
      <c r="D23" s="116">
        <f>1000*332829</f>
        <v>332829000</v>
      </c>
      <c r="E23" s="116">
        <f t="shared" si="4"/>
        <v>323020000</v>
      </c>
      <c r="F23" s="116"/>
      <c r="G23" s="116">
        <f>1000*298009</f>
        <v>298009000</v>
      </c>
      <c r="H23" s="116">
        <f>1000*25011</f>
        <v>25011000</v>
      </c>
      <c r="I23" s="116"/>
      <c r="J23" s="116"/>
      <c r="K23" s="117">
        <f t="shared" si="5"/>
        <v>9809000</v>
      </c>
      <c r="L23" s="118" t="s">
        <v>199</v>
      </c>
    </row>
    <row r="24" spans="1:12" s="108" customFormat="1" ht="27.6" x14ac:dyDescent="0.3">
      <c r="A24" s="114">
        <v>13</v>
      </c>
      <c r="B24" s="126" t="s">
        <v>213</v>
      </c>
      <c r="C24" s="127">
        <f>1000*1850000</f>
        <v>1850000000</v>
      </c>
      <c r="D24" s="116">
        <f>1000*1825890</f>
        <v>1825890000</v>
      </c>
      <c r="E24" s="116">
        <f t="shared" si="4"/>
        <v>1769157000</v>
      </c>
      <c r="F24" s="116"/>
      <c r="G24" s="116">
        <f>1000*1322643</f>
        <v>1322643000</v>
      </c>
      <c r="H24" s="116">
        <f>1000*349952</f>
        <v>349952000</v>
      </c>
      <c r="I24" s="116">
        <f>1000*96562</f>
        <v>96562000</v>
      </c>
      <c r="J24" s="116"/>
      <c r="K24" s="117">
        <f t="shared" si="5"/>
        <v>56733000</v>
      </c>
      <c r="L24" s="118" t="s">
        <v>199</v>
      </c>
    </row>
    <row r="25" spans="1:12" s="108" customFormat="1" ht="27.6" x14ac:dyDescent="0.3">
      <c r="A25" s="114">
        <v>14</v>
      </c>
      <c r="B25" s="126" t="s">
        <v>214</v>
      </c>
      <c r="C25" s="127">
        <f>1000*1056000</f>
        <v>1056000000</v>
      </c>
      <c r="D25" s="116">
        <f>(963767+37262)*1000</f>
        <v>1001029000</v>
      </c>
      <c r="E25" s="116">
        <f t="shared" si="4"/>
        <v>975411000</v>
      </c>
      <c r="F25" s="116"/>
      <c r="G25" s="116">
        <f>1000*844411</f>
        <v>844411000</v>
      </c>
      <c r="H25" s="116"/>
      <c r="I25" s="116"/>
      <c r="J25" s="116">
        <f>1000*131000</f>
        <v>131000000</v>
      </c>
      <c r="K25" s="117">
        <f t="shared" si="5"/>
        <v>25618000</v>
      </c>
      <c r="L25" s="118" t="s">
        <v>199</v>
      </c>
    </row>
    <row r="26" spans="1:12" s="108" customFormat="1" ht="27.6" x14ac:dyDescent="0.3">
      <c r="A26" s="114">
        <v>15</v>
      </c>
      <c r="B26" s="126" t="s">
        <v>215</v>
      </c>
      <c r="C26" s="127">
        <f>1000*255000</f>
        <v>255000000</v>
      </c>
      <c r="D26" s="116">
        <f>1000*224930</f>
        <v>224930000</v>
      </c>
      <c r="E26" s="116">
        <f t="shared" si="4"/>
        <v>216496000</v>
      </c>
      <c r="F26" s="116"/>
      <c r="G26" s="116">
        <f>1000*216496</f>
        <v>216496000</v>
      </c>
      <c r="H26" s="116"/>
      <c r="I26" s="116"/>
      <c r="J26" s="116"/>
      <c r="K26" s="117">
        <f t="shared" si="5"/>
        <v>8434000</v>
      </c>
      <c r="L26" s="118" t="s">
        <v>199</v>
      </c>
    </row>
    <row r="27" spans="1:12" s="108" customFormat="1" ht="55.2" x14ac:dyDescent="0.3">
      <c r="A27" s="114">
        <v>16</v>
      </c>
      <c r="B27" s="126" t="s">
        <v>216</v>
      </c>
      <c r="C27" s="127">
        <f>1000*737041</f>
        <v>737041000</v>
      </c>
      <c r="D27" s="116">
        <f>1000*609626</f>
        <v>609626000</v>
      </c>
      <c r="E27" s="116">
        <f t="shared" si="4"/>
        <v>521544000</v>
      </c>
      <c r="F27" s="116">
        <f>340300*1000</f>
        <v>340300000</v>
      </c>
      <c r="G27" s="116">
        <f>1000*181244</f>
        <v>181244000</v>
      </c>
      <c r="H27" s="116"/>
      <c r="I27" s="116"/>
      <c r="J27" s="116"/>
      <c r="K27" s="117">
        <f t="shared" si="5"/>
        <v>88082000</v>
      </c>
      <c r="L27" s="118" t="s">
        <v>199</v>
      </c>
    </row>
    <row r="28" spans="1:12" s="113" customFormat="1" ht="19.8" customHeight="1" x14ac:dyDescent="0.3">
      <c r="A28" s="109" t="s">
        <v>164</v>
      </c>
      <c r="B28" s="128" t="s">
        <v>217</v>
      </c>
      <c r="C28" s="107">
        <f>SUM(C29:C38)</f>
        <v>7266311000</v>
      </c>
      <c r="D28" s="107">
        <f t="shared" ref="D28:J28" si="6">SUM(D29:D38)</f>
        <v>6489861000</v>
      </c>
      <c r="E28" s="107">
        <f t="shared" si="6"/>
        <v>5936638000</v>
      </c>
      <c r="F28" s="107">
        <f t="shared" si="6"/>
        <v>0</v>
      </c>
      <c r="G28" s="107">
        <f t="shared" si="6"/>
        <v>0</v>
      </c>
      <c r="H28" s="107">
        <f t="shared" si="6"/>
        <v>5177437000</v>
      </c>
      <c r="I28" s="107">
        <f t="shared" si="6"/>
        <v>551000000</v>
      </c>
      <c r="J28" s="107">
        <f t="shared" si="6"/>
        <v>208201000</v>
      </c>
      <c r="K28" s="111">
        <f t="shared" si="5"/>
        <v>553223000</v>
      </c>
      <c r="L28" s="112" t="s">
        <v>199</v>
      </c>
    </row>
    <row r="29" spans="1:12" s="108" customFormat="1" ht="27.6" x14ac:dyDescent="0.3">
      <c r="A29" s="114">
        <v>17</v>
      </c>
      <c r="B29" s="129" t="s">
        <v>218</v>
      </c>
      <c r="C29" s="127">
        <f>1000*181462</f>
        <v>181462000</v>
      </c>
      <c r="D29" s="116">
        <f>1000*169686</f>
        <v>169686000</v>
      </c>
      <c r="E29" s="116">
        <f t="shared" ref="E29:E38" si="7">SUM(F29:J29)</f>
        <v>162667000</v>
      </c>
      <c r="F29" s="116"/>
      <c r="G29" s="116"/>
      <c r="H29" s="116">
        <f>1000*162667</f>
        <v>162667000</v>
      </c>
      <c r="I29" s="116"/>
      <c r="J29" s="116"/>
      <c r="K29" s="117">
        <f t="shared" si="5"/>
        <v>7019000</v>
      </c>
      <c r="L29" s="118" t="s">
        <v>199</v>
      </c>
    </row>
    <row r="30" spans="1:12" s="108" customFormat="1" ht="41.4" x14ac:dyDescent="0.3">
      <c r="A30" s="114">
        <v>18</v>
      </c>
      <c r="B30" s="129" t="s">
        <v>219</v>
      </c>
      <c r="C30" s="127">
        <f>1000*1148015</f>
        <v>1148015000</v>
      </c>
      <c r="D30" s="116">
        <f>1000*473760</f>
        <v>473760000</v>
      </c>
      <c r="E30" s="116">
        <f t="shared" si="7"/>
        <v>420545000</v>
      </c>
      <c r="F30" s="116"/>
      <c r="G30" s="116"/>
      <c r="H30" s="116">
        <f>1000*393491</f>
        <v>393491000</v>
      </c>
      <c r="I30" s="116"/>
      <c r="J30" s="116">
        <f>1000*27054</f>
        <v>27054000</v>
      </c>
      <c r="K30" s="117">
        <f t="shared" si="5"/>
        <v>53215000</v>
      </c>
      <c r="L30" s="118" t="s">
        <v>199</v>
      </c>
    </row>
    <row r="31" spans="1:12" s="108" customFormat="1" ht="27.6" x14ac:dyDescent="0.3">
      <c r="A31" s="114">
        <v>19</v>
      </c>
      <c r="B31" s="129" t="s">
        <v>220</v>
      </c>
      <c r="C31" s="127">
        <f>1000*369429</f>
        <v>369429000</v>
      </c>
      <c r="D31" s="116">
        <f>1000*349221</f>
        <v>349221000</v>
      </c>
      <c r="E31" s="116">
        <f t="shared" si="7"/>
        <v>329741000</v>
      </c>
      <c r="F31" s="116"/>
      <c r="G31" s="116"/>
      <c r="H31" s="116">
        <f>1000*313894</f>
        <v>313894000</v>
      </c>
      <c r="I31" s="116"/>
      <c r="J31" s="116">
        <f>1000*15847</f>
        <v>15847000</v>
      </c>
      <c r="K31" s="117">
        <f t="shared" si="5"/>
        <v>19480000</v>
      </c>
      <c r="L31" s="118" t="s">
        <v>199</v>
      </c>
    </row>
    <row r="32" spans="1:12" s="108" customFormat="1" ht="27.6" x14ac:dyDescent="0.3">
      <c r="A32" s="114">
        <v>20</v>
      </c>
      <c r="B32" s="129" t="s">
        <v>221</v>
      </c>
      <c r="C32" s="127">
        <f>1000*402875</f>
        <v>402875000</v>
      </c>
      <c r="D32" s="116">
        <f>1000*398000</f>
        <v>398000000</v>
      </c>
      <c r="E32" s="116">
        <f t="shared" si="7"/>
        <v>374174000</v>
      </c>
      <c r="F32" s="116"/>
      <c r="G32" s="116"/>
      <c r="H32" s="116">
        <f>1000*374174</f>
        <v>374174000</v>
      </c>
      <c r="I32" s="116"/>
      <c r="J32" s="116"/>
      <c r="K32" s="117">
        <f t="shared" si="5"/>
        <v>23826000</v>
      </c>
      <c r="L32" s="118" t="s">
        <v>199</v>
      </c>
    </row>
    <row r="33" spans="1:12" s="108" customFormat="1" ht="27.6" x14ac:dyDescent="0.3">
      <c r="A33" s="114">
        <v>21</v>
      </c>
      <c r="B33" s="129" t="s">
        <v>222</v>
      </c>
      <c r="C33" s="127">
        <f>1000*854495</f>
        <v>854495000</v>
      </c>
      <c r="D33" s="116">
        <f>1000*871772</f>
        <v>871772000</v>
      </c>
      <c r="E33" s="116">
        <f t="shared" si="7"/>
        <v>806288000</v>
      </c>
      <c r="F33" s="116"/>
      <c r="G33" s="116"/>
      <c r="H33" s="116">
        <f>1000*806288</f>
        <v>806288000</v>
      </c>
      <c r="I33" s="116"/>
      <c r="J33" s="116"/>
      <c r="K33" s="117">
        <f t="shared" si="5"/>
        <v>65484000</v>
      </c>
      <c r="L33" s="118" t="s">
        <v>199</v>
      </c>
    </row>
    <row r="34" spans="1:12" s="108" customFormat="1" ht="27.6" x14ac:dyDescent="0.3">
      <c r="A34" s="114">
        <v>22</v>
      </c>
      <c r="B34" s="129" t="s">
        <v>223</v>
      </c>
      <c r="C34" s="127">
        <f>1000000*1669</f>
        <v>1669000000</v>
      </c>
      <c r="D34" s="116">
        <f>1000*1565329</f>
        <v>1565329000</v>
      </c>
      <c r="E34" s="116">
        <f t="shared" si="7"/>
        <v>1529380000</v>
      </c>
      <c r="F34" s="116"/>
      <c r="G34" s="116"/>
      <c r="H34" s="116">
        <f>1000*1477380</f>
        <v>1477380000</v>
      </c>
      <c r="I34" s="116"/>
      <c r="J34" s="116">
        <f>1000*52000</f>
        <v>52000000</v>
      </c>
      <c r="K34" s="117">
        <f t="shared" si="5"/>
        <v>35949000</v>
      </c>
      <c r="L34" s="118" t="s">
        <v>199</v>
      </c>
    </row>
    <row r="35" spans="1:12" s="108" customFormat="1" ht="19.2" customHeight="1" x14ac:dyDescent="0.3">
      <c r="A35" s="114">
        <v>23</v>
      </c>
      <c r="B35" s="129" t="s">
        <v>224</v>
      </c>
      <c r="C35" s="127">
        <f>1000*427892</f>
        <v>427892000</v>
      </c>
      <c r="D35" s="116">
        <f>1000*552602</f>
        <v>552602000</v>
      </c>
      <c r="E35" s="116">
        <f t="shared" si="7"/>
        <v>522602000</v>
      </c>
      <c r="F35" s="116"/>
      <c r="G35" s="116"/>
      <c r="H35" s="116">
        <f>1000*522602</f>
        <v>522602000</v>
      </c>
      <c r="I35" s="116"/>
      <c r="J35" s="116"/>
      <c r="K35" s="117">
        <f t="shared" si="5"/>
        <v>30000000</v>
      </c>
      <c r="L35" s="118" t="s">
        <v>199</v>
      </c>
    </row>
    <row r="36" spans="1:12" s="108" customFormat="1" ht="19.2" customHeight="1" x14ac:dyDescent="0.3">
      <c r="A36" s="114">
        <v>24</v>
      </c>
      <c r="B36" s="129" t="s">
        <v>225</v>
      </c>
      <c r="C36" s="127">
        <f>1000*201521</f>
        <v>201521000</v>
      </c>
      <c r="D36" s="116">
        <f>1000*154195</f>
        <v>154195000</v>
      </c>
      <c r="E36" s="116">
        <f t="shared" si="7"/>
        <v>138200000</v>
      </c>
      <c r="F36" s="116"/>
      <c r="G36" s="116"/>
      <c r="H36" s="116">
        <f>1000*138200</f>
        <v>138200000</v>
      </c>
      <c r="I36" s="116"/>
      <c r="J36" s="116"/>
      <c r="K36" s="117">
        <f t="shared" si="5"/>
        <v>15995000</v>
      </c>
      <c r="L36" s="118" t="s">
        <v>199</v>
      </c>
    </row>
    <row r="37" spans="1:12" s="108" customFormat="1" ht="41.4" x14ac:dyDescent="0.3">
      <c r="A37" s="114">
        <v>25</v>
      </c>
      <c r="B37" s="129" t="s">
        <v>226</v>
      </c>
      <c r="C37" s="127">
        <f>1000*880282</f>
        <v>880282000</v>
      </c>
      <c r="D37" s="116">
        <f>1000*830405</f>
        <v>830405000</v>
      </c>
      <c r="E37" s="116">
        <f t="shared" si="7"/>
        <v>809300000</v>
      </c>
      <c r="F37" s="116"/>
      <c r="G37" s="116"/>
      <c r="H37" s="116">
        <f>1000*645000</f>
        <v>645000000</v>
      </c>
      <c r="I37" s="116">
        <f>1000*51000</f>
        <v>51000000</v>
      </c>
      <c r="J37" s="116">
        <f>1000*113300</f>
        <v>113300000</v>
      </c>
      <c r="K37" s="117">
        <f t="shared" si="5"/>
        <v>21105000</v>
      </c>
      <c r="L37" s="118" t="s">
        <v>199</v>
      </c>
    </row>
    <row r="38" spans="1:12" s="108" customFormat="1" ht="19.8" customHeight="1" x14ac:dyDescent="0.3">
      <c r="A38" s="114">
        <v>26</v>
      </c>
      <c r="B38" s="129" t="s">
        <v>227</v>
      </c>
      <c r="C38" s="127">
        <f>1000000*1131.34</f>
        <v>1131340000</v>
      </c>
      <c r="D38" s="116">
        <f>1000*1124891</f>
        <v>1124891000</v>
      </c>
      <c r="E38" s="116">
        <f t="shared" si="7"/>
        <v>843741000</v>
      </c>
      <c r="F38" s="116"/>
      <c r="G38" s="116"/>
      <c r="H38" s="116">
        <f>1000*343741</f>
        <v>343741000</v>
      </c>
      <c r="I38" s="116">
        <f>1000*500000</f>
        <v>500000000</v>
      </c>
      <c r="J38" s="116"/>
      <c r="K38" s="117">
        <f t="shared" si="5"/>
        <v>281150000</v>
      </c>
      <c r="L38" s="118" t="s">
        <v>199</v>
      </c>
    </row>
    <row r="39" spans="1:12" s="113" customFormat="1" ht="19.8" customHeight="1" x14ac:dyDescent="0.3">
      <c r="A39" s="109" t="s">
        <v>172</v>
      </c>
      <c r="B39" s="130" t="s">
        <v>228</v>
      </c>
      <c r="C39" s="107">
        <f>SUM(C40:C50)</f>
        <v>9981171000</v>
      </c>
      <c r="D39" s="107">
        <f t="shared" ref="D39:J39" si="8">SUM(D40:D50)</f>
        <v>8968409000</v>
      </c>
      <c r="E39" s="107">
        <f t="shared" si="8"/>
        <v>8547584000</v>
      </c>
      <c r="F39" s="107">
        <f t="shared" si="8"/>
        <v>0</v>
      </c>
      <c r="G39" s="107">
        <f t="shared" si="8"/>
        <v>0</v>
      </c>
      <c r="H39" s="107">
        <f t="shared" si="8"/>
        <v>0</v>
      </c>
      <c r="I39" s="107">
        <f t="shared" si="8"/>
        <v>4099978000</v>
      </c>
      <c r="J39" s="107">
        <f t="shared" si="8"/>
        <v>4447606000</v>
      </c>
      <c r="K39" s="111">
        <f t="shared" si="5"/>
        <v>420825000</v>
      </c>
      <c r="L39" s="112" t="s">
        <v>199</v>
      </c>
    </row>
    <row r="40" spans="1:12" s="108" customFormat="1" ht="27.6" x14ac:dyDescent="0.3">
      <c r="A40" s="114">
        <v>27</v>
      </c>
      <c r="B40" s="129" t="s">
        <v>229</v>
      </c>
      <c r="C40" s="127">
        <f>1000*2314435</f>
        <v>2314435000</v>
      </c>
      <c r="D40" s="116">
        <f>(1929552+20888+20623+23000)*1000</f>
        <v>1994063000</v>
      </c>
      <c r="E40" s="116">
        <f t="shared" ref="E40:E50" si="9">SUM(F40:J40)</f>
        <v>1947403000</v>
      </c>
      <c r="F40" s="116"/>
      <c r="G40" s="116"/>
      <c r="H40" s="116"/>
      <c r="I40" s="116">
        <f>1000*434803</f>
        <v>434803000</v>
      </c>
      <c r="J40" s="116">
        <f>1000*1512600</f>
        <v>1512600000</v>
      </c>
      <c r="K40" s="117">
        <f t="shared" si="5"/>
        <v>46660000</v>
      </c>
      <c r="L40" s="118" t="s">
        <v>199</v>
      </c>
    </row>
    <row r="41" spans="1:12" s="108" customFormat="1" ht="27.6" x14ac:dyDescent="0.3">
      <c r="A41" s="114">
        <v>28</v>
      </c>
      <c r="B41" s="129" t="s">
        <v>230</v>
      </c>
      <c r="C41" s="127">
        <f>1000*2811878</f>
        <v>2811878000</v>
      </c>
      <c r="D41" s="116">
        <f>(2326582+65144+254000+31000)*1000</f>
        <v>2676726000</v>
      </c>
      <c r="E41" s="116">
        <f t="shared" si="9"/>
        <v>2628930000</v>
      </c>
      <c r="F41" s="116"/>
      <c r="G41" s="116"/>
      <c r="H41" s="116"/>
      <c r="I41" s="116">
        <f>1000*1557140</f>
        <v>1557140000</v>
      </c>
      <c r="J41" s="116">
        <f>1000*1071790</f>
        <v>1071790000</v>
      </c>
      <c r="K41" s="117">
        <f t="shared" si="5"/>
        <v>47796000</v>
      </c>
      <c r="L41" s="118" t="s">
        <v>199</v>
      </c>
    </row>
    <row r="42" spans="1:12" s="108" customFormat="1" ht="27.6" x14ac:dyDescent="0.3">
      <c r="A42" s="114">
        <v>29</v>
      </c>
      <c r="B42" s="129" t="s">
        <v>231</v>
      </c>
      <c r="C42" s="127">
        <f>1000*500000</f>
        <v>500000000</v>
      </c>
      <c r="D42" s="116">
        <f>(384767+8399+25009+12639)*1000</f>
        <v>430814000</v>
      </c>
      <c r="E42" s="116">
        <f t="shared" si="9"/>
        <v>369924000</v>
      </c>
      <c r="F42" s="116"/>
      <c r="G42" s="116"/>
      <c r="H42" s="116"/>
      <c r="I42" s="116">
        <f>1000*357648</f>
        <v>357648000</v>
      </c>
      <c r="J42" s="116">
        <f>1000*12276</f>
        <v>12276000</v>
      </c>
      <c r="K42" s="117">
        <f t="shared" si="5"/>
        <v>60890000</v>
      </c>
      <c r="L42" s="118" t="s">
        <v>199</v>
      </c>
    </row>
    <row r="43" spans="1:12" s="108" customFormat="1" ht="19.2" customHeight="1" x14ac:dyDescent="0.3">
      <c r="A43" s="114">
        <v>30</v>
      </c>
      <c r="B43" s="129" t="s">
        <v>232</v>
      </c>
      <c r="C43" s="127">
        <f>1000*474678</f>
        <v>474678000</v>
      </c>
      <c r="D43" s="116">
        <f>1000*458436</f>
        <v>458436000</v>
      </c>
      <c r="E43" s="116">
        <f t="shared" si="9"/>
        <v>423670000</v>
      </c>
      <c r="F43" s="116"/>
      <c r="G43" s="116"/>
      <c r="H43" s="116"/>
      <c r="I43" s="116">
        <f>1000*110970</f>
        <v>110970000</v>
      </c>
      <c r="J43" s="116">
        <f>1000*312700</f>
        <v>312700000</v>
      </c>
      <c r="K43" s="117">
        <f t="shared" si="5"/>
        <v>34766000</v>
      </c>
      <c r="L43" s="118" t="s">
        <v>199</v>
      </c>
    </row>
    <row r="44" spans="1:12" s="108" customFormat="1" ht="27.6" x14ac:dyDescent="0.3">
      <c r="A44" s="114">
        <v>31</v>
      </c>
      <c r="B44" s="129" t="s">
        <v>233</v>
      </c>
      <c r="C44" s="127">
        <f>1000*197332</f>
        <v>197332000</v>
      </c>
      <c r="D44" s="116">
        <f>1000*190580</f>
        <v>190580000</v>
      </c>
      <c r="E44" s="116">
        <f t="shared" si="9"/>
        <v>182980000</v>
      </c>
      <c r="F44" s="116"/>
      <c r="G44" s="116"/>
      <c r="H44" s="116"/>
      <c r="I44" s="116">
        <f>1000*48080</f>
        <v>48080000</v>
      </c>
      <c r="J44" s="116">
        <f>1000*134900</f>
        <v>134900000</v>
      </c>
      <c r="K44" s="117">
        <f t="shared" si="5"/>
        <v>7600000</v>
      </c>
      <c r="L44" s="118" t="s">
        <v>199</v>
      </c>
    </row>
    <row r="45" spans="1:12" s="108" customFormat="1" ht="27.6" x14ac:dyDescent="0.3">
      <c r="A45" s="114">
        <v>32</v>
      </c>
      <c r="B45" s="129" t="s">
        <v>234</v>
      </c>
      <c r="C45" s="127">
        <f>1000*357716</f>
        <v>357716000</v>
      </c>
      <c r="D45" s="116">
        <f>1000*344510</f>
        <v>344510000</v>
      </c>
      <c r="E45" s="116">
        <f t="shared" si="9"/>
        <v>318490000</v>
      </c>
      <c r="F45" s="116"/>
      <c r="G45" s="116"/>
      <c r="H45" s="116"/>
      <c r="I45" s="116">
        <f>1000*88490</f>
        <v>88490000</v>
      </c>
      <c r="J45" s="116">
        <f>1000*230000</f>
        <v>230000000</v>
      </c>
      <c r="K45" s="117">
        <f t="shared" si="5"/>
        <v>26020000</v>
      </c>
      <c r="L45" s="118" t="s">
        <v>199</v>
      </c>
    </row>
    <row r="46" spans="1:12" s="108" customFormat="1" ht="22.2" customHeight="1" x14ac:dyDescent="0.3">
      <c r="A46" s="114">
        <v>33</v>
      </c>
      <c r="B46" s="129" t="s">
        <v>235</v>
      </c>
      <c r="C46" s="127">
        <f>1000*299000</f>
        <v>299000000</v>
      </c>
      <c r="D46" s="116">
        <f>C46</f>
        <v>299000000</v>
      </c>
      <c r="E46" s="116">
        <f t="shared" si="9"/>
        <v>285120000</v>
      </c>
      <c r="F46" s="116"/>
      <c r="G46" s="116"/>
      <c r="H46" s="116"/>
      <c r="I46" s="116">
        <f>1000*285120</f>
        <v>285120000</v>
      </c>
      <c r="J46" s="116"/>
      <c r="K46" s="117">
        <f t="shared" si="5"/>
        <v>13880000</v>
      </c>
      <c r="L46" s="118" t="s">
        <v>199</v>
      </c>
    </row>
    <row r="47" spans="1:12" s="108" customFormat="1" ht="27.6" x14ac:dyDescent="0.3">
      <c r="A47" s="114">
        <v>34</v>
      </c>
      <c r="B47" s="129" t="s">
        <v>236</v>
      </c>
      <c r="C47" s="127">
        <f>1000*654043</f>
        <v>654043000</v>
      </c>
      <c r="D47" s="116">
        <f>1000*281654</f>
        <v>281654000</v>
      </c>
      <c r="E47" s="116">
        <f t="shared" si="9"/>
        <v>236000000</v>
      </c>
      <c r="F47" s="116"/>
      <c r="G47" s="116"/>
      <c r="H47" s="116"/>
      <c r="I47" s="116"/>
      <c r="J47" s="116">
        <f>1000*236000</f>
        <v>236000000</v>
      </c>
      <c r="K47" s="117">
        <f t="shared" si="5"/>
        <v>45654000</v>
      </c>
      <c r="L47" s="118" t="s">
        <v>199</v>
      </c>
    </row>
    <row r="48" spans="1:12" s="108" customFormat="1" ht="27.6" x14ac:dyDescent="0.3">
      <c r="A48" s="114">
        <v>35</v>
      </c>
      <c r="B48" s="129" t="s">
        <v>237</v>
      </c>
      <c r="C48" s="127">
        <f>1000*329974</f>
        <v>329974000</v>
      </c>
      <c r="D48" s="116">
        <f>1000*318683</f>
        <v>318683000</v>
      </c>
      <c r="E48" s="116">
        <f t="shared" si="9"/>
        <v>306727000</v>
      </c>
      <c r="F48" s="116"/>
      <c r="G48" s="116"/>
      <c r="H48" s="116"/>
      <c r="I48" s="116">
        <f>1000*306727</f>
        <v>306727000</v>
      </c>
      <c r="J48" s="116"/>
      <c r="K48" s="117">
        <f t="shared" si="5"/>
        <v>11956000</v>
      </c>
      <c r="L48" s="118" t="s">
        <v>199</v>
      </c>
    </row>
    <row r="49" spans="1:12" s="108" customFormat="1" ht="21.6" customHeight="1" x14ac:dyDescent="0.3">
      <c r="A49" s="114">
        <v>36</v>
      </c>
      <c r="B49" s="129" t="s">
        <v>238</v>
      </c>
      <c r="C49" s="127">
        <f>1000*1062354</f>
        <v>1062354000</v>
      </c>
      <c r="D49" s="116">
        <f>(879000+24000+100000)*1000</f>
        <v>1003000000</v>
      </c>
      <c r="E49" s="116">
        <f t="shared" si="9"/>
        <v>976000000</v>
      </c>
      <c r="F49" s="116"/>
      <c r="G49" s="116"/>
      <c r="H49" s="116"/>
      <c r="I49" s="116">
        <f>1000*700000</f>
        <v>700000000</v>
      </c>
      <c r="J49" s="116">
        <f>1000*276000</f>
        <v>276000000</v>
      </c>
      <c r="K49" s="117">
        <f t="shared" si="5"/>
        <v>27000000</v>
      </c>
      <c r="L49" s="118" t="s">
        <v>199</v>
      </c>
    </row>
    <row r="50" spans="1:12" s="108" customFormat="1" ht="27.6" x14ac:dyDescent="0.3">
      <c r="A50" s="114">
        <v>37</v>
      </c>
      <c r="B50" s="129" t="s">
        <v>239</v>
      </c>
      <c r="C50" s="127">
        <f>1000*979761</f>
        <v>979761000</v>
      </c>
      <c r="D50" s="116">
        <f>(827766+23177+120000)*1000</f>
        <v>970943000</v>
      </c>
      <c r="E50" s="116">
        <f t="shared" si="9"/>
        <v>872340000</v>
      </c>
      <c r="F50" s="116"/>
      <c r="G50" s="116"/>
      <c r="H50" s="116"/>
      <c r="I50" s="116">
        <f>1000*211000</f>
        <v>211000000</v>
      </c>
      <c r="J50" s="116">
        <f>1000*661340</f>
        <v>661340000</v>
      </c>
      <c r="K50" s="117">
        <f t="shared" si="5"/>
        <v>98603000</v>
      </c>
      <c r="L50" s="118" t="s">
        <v>199</v>
      </c>
    </row>
    <row r="51" spans="1:12" s="108" customFormat="1" ht="23.4" customHeight="1" x14ac:dyDescent="0.3">
      <c r="A51" s="114"/>
      <c r="B51" s="110" t="s">
        <v>240</v>
      </c>
      <c r="C51" s="111">
        <f>C19+C14+C9+C28+C39</f>
        <v>56080495000</v>
      </c>
      <c r="D51" s="111">
        <f t="shared" ref="D51:J51" si="10">D19+D14+D9+D28+D39</f>
        <v>50434109000</v>
      </c>
      <c r="E51" s="111">
        <f t="shared" si="10"/>
        <v>48547730000</v>
      </c>
      <c r="F51" s="111">
        <f t="shared" si="10"/>
        <v>16405260000</v>
      </c>
      <c r="G51" s="111">
        <f t="shared" si="10"/>
        <v>13500912000</v>
      </c>
      <c r="H51" s="111">
        <f t="shared" si="10"/>
        <v>9013622000</v>
      </c>
      <c r="I51" s="111">
        <f t="shared" si="10"/>
        <v>4816985000</v>
      </c>
      <c r="J51" s="111">
        <f t="shared" si="10"/>
        <v>4810951000</v>
      </c>
      <c r="K51" s="111">
        <f>K19+K14+K9+K28+K39</f>
        <v>1886379000</v>
      </c>
      <c r="L51" s="118"/>
    </row>
    <row r="53" spans="1:12" x14ac:dyDescent="0.3">
      <c r="E53" s="161" t="s">
        <v>308</v>
      </c>
      <c r="F53" s="161"/>
      <c r="G53" s="161"/>
      <c r="H53" s="161"/>
      <c r="I53" s="161"/>
      <c r="J53" s="161"/>
      <c r="K53" s="161"/>
      <c r="L53" s="161"/>
    </row>
    <row r="56" spans="1:12" x14ac:dyDescent="0.3">
      <c r="I56" s="106"/>
    </row>
  </sheetData>
  <mergeCells count="17">
    <mergeCell ref="E6:E8"/>
    <mergeCell ref="I7:I8"/>
    <mergeCell ref="J7:J8"/>
    <mergeCell ref="E53:L53"/>
    <mergeCell ref="J3:K3"/>
    <mergeCell ref="A4:L4"/>
    <mergeCell ref="J5:L5"/>
    <mergeCell ref="K6:K8"/>
    <mergeCell ref="L6:L8"/>
    <mergeCell ref="F7:F8"/>
    <mergeCell ref="G7:G8"/>
    <mergeCell ref="H7:H8"/>
    <mergeCell ref="F6:J6"/>
    <mergeCell ref="A6:A8"/>
    <mergeCell ref="B6:B8"/>
    <mergeCell ref="C6:C8"/>
    <mergeCell ref="D6:D8"/>
  </mergeCells>
  <hyperlinks>
    <hyperlink ref="B40" r:id="rId1" display="https://dvc.vst.mof.gov.vn/frontend/faces/ThietLapDvqhns?_adf.ctrl-state=13dymt3jce_14&amp;_afrLoop=47191485480251488" xr:uid="{00000000-0004-0000-0300-000000000000}"/>
    <hyperlink ref="B41" r:id="rId2" display="https://dvc.vst.mof.gov.vn/frontend/faces/ThietLapDvqhns?_adf.ctrl-state=13dymt3jce_14&amp;_afrLoop=47191485480251488" xr:uid="{00000000-0004-0000-0300-000001000000}"/>
  </hyperlinks>
  <pageMargins left="0.45" right="0.25" top="0.5" bottom="0.25" header="0.3" footer="0.3"/>
  <pageSetup paperSize="9" scale="95" orientation="landscape" verticalDpi="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0"/>
  <sheetViews>
    <sheetView topLeftCell="A121" workbookViewId="0">
      <selection activeCell="E121" sqref="E121"/>
    </sheetView>
  </sheetViews>
  <sheetFormatPr defaultRowHeight="13.8" x14ac:dyDescent="0.25"/>
  <cols>
    <col min="1" max="1" width="5.21875" style="132" customWidth="1"/>
    <col min="2" max="2" width="41.44140625" style="132" customWidth="1"/>
    <col min="3" max="3" width="22.5546875" style="132" customWidth="1"/>
    <col min="4" max="4" width="22.77734375" style="132" customWidth="1"/>
    <col min="5" max="5" width="18.21875" style="132" customWidth="1"/>
    <col min="6" max="6" width="20.33203125" style="132" customWidth="1"/>
    <col min="7" max="16384" width="8.88671875" style="132"/>
  </cols>
  <sheetData>
    <row r="1" spans="1:7" ht="15.6" x14ac:dyDescent="0.25">
      <c r="B1" s="133" t="s">
        <v>306</v>
      </c>
    </row>
    <row r="2" spans="1:7" ht="15.6" x14ac:dyDescent="0.25">
      <c r="B2" s="133" t="s">
        <v>307</v>
      </c>
    </row>
    <row r="3" spans="1:7" ht="16.8" x14ac:dyDescent="0.25">
      <c r="E3" s="196"/>
      <c r="F3" s="196"/>
    </row>
    <row r="4" spans="1:7" x14ac:dyDescent="0.25">
      <c r="A4" s="194" t="s">
        <v>316</v>
      </c>
      <c r="B4" s="194"/>
      <c r="C4" s="194"/>
      <c r="D4" s="194"/>
      <c r="E4" s="194"/>
      <c r="F4" s="194"/>
      <c r="G4" s="194"/>
    </row>
    <row r="5" spans="1:7" x14ac:dyDescent="0.25">
      <c r="A5" s="134"/>
      <c r="C5" s="135"/>
      <c r="D5" s="135"/>
      <c r="E5" s="135"/>
      <c r="F5" s="136" t="s">
        <v>184</v>
      </c>
    </row>
    <row r="6" spans="1:7" ht="18" customHeight="1" x14ac:dyDescent="0.25">
      <c r="A6" s="137" t="s">
        <v>0</v>
      </c>
      <c r="B6" s="137" t="s">
        <v>185</v>
      </c>
      <c r="C6" s="138" t="s">
        <v>186</v>
      </c>
      <c r="D6" s="138" t="s">
        <v>187</v>
      </c>
      <c r="E6" s="138" t="s">
        <v>188</v>
      </c>
      <c r="F6" s="138" t="s">
        <v>189</v>
      </c>
      <c r="G6" s="137" t="s">
        <v>5</v>
      </c>
    </row>
    <row r="7" spans="1:7" ht="18" customHeight="1" x14ac:dyDescent="0.25">
      <c r="A7" s="139" t="s">
        <v>2</v>
      </c>
      <c r="B7" s="140" t="s">
        <v>122</v>
      </c>
      <c r="C7" s="141">
        <f>C8+C14+C20+C24+C30+C36+C42+C48</f>
        <v>9025946000</v>
      </c>
      <c r="D7" s="141">
        <f t="shared" ref="D7:F7" si="0">D8+D14+D20+D24+D30+D36+D42+D48</f>
        <v>8024797000</v>
      </c>
      <c r="E7" s="141">
        <f t="shared" si="0"/>
        <v>6252504000</v>
      </c>
      <c r="F7" s="141">
        <f t="shared" si="0"/>
        <v>1772293000</v>
      </c>
      <c r="G7" s="142"/>
    </row>
    <row r="8" spans="1:7" ht="27.6" x14ac:dyDescent="0.25">
      <c r="A8" s="143">
        <v>1</v>
      </c>
      <c r="B8" s="59" t="s">
        <v>138</v>
      </c>
      <c r="C8" s="144">
        <f>SUM(C9:C13)</f>
        <v>300000000</v>
      </c>
      <c r="D8" s="144">
        <f t="shared" ref="D8:F8" si="1">SUM(D9:D13)</f>
        <v>289192000</v>
      </c>
      <c r="E8" s="144">
        <f t="shared" si="1"/>
        <v>259775000</v>
      </c>
      <c r="F8" s="144">
        <f t="shared" si="1"/>
        <v>29417000</v>
      </c>
      <c r="G8" s="145" t="s">
        <v>50</v>
      </c>
    </row>
    <row r="9" spans="1:7" ht="18" customHeight="1" x14ac:dyDescent="0.25">
      <c r="A9" s="146"/>
      <c r="B9" s="119" t="s">
        <v>139</v>
      </c>
      <c r="C9" s="147">
        <v>259775000</v>
      </c>
      <c r="D9" s="147">
        <v>259775000</v>
      </c>
      <c r="E9" s="147">
        <v>259775000</v>
      </c>
      <c r="F9" s="147">
        <f>D9-E9</f>
        <v>0</v>
      </c>
      <c r="G9" s="142"/>
    </row>
    <row r="10" spans="1:7" ht="18" customHeight="1" x14ac:dyDescent="0.25">
      <c r="A10" s="146"/>
      <c r="B10" s="119" t="s">
        <v>140</v>
      </c>
      <c r="C10" s="147">
        <v>7274000</v>
      </c>
      <c r="D10" s="147">
        <v>7070000</v>
      </c>
      <c r="E10" s="147"/>
      <c r="F10" s="147">
        <f t="shared" ref="F10:F13" si="2">D10-E10</f>
        <v>7070000</v>
      </c>
      <c r="G10" s="142"/>
    </row>
    <row r="11" spans="1:7" ht="18" customHeight="1" x14ac:dyDescent="0.25">
      <c r="A11" s="146"/>
      <c r="B11" s="119" t="s">
        <v>141</v>
      </c>
      <c r="C11" s="147">
        <v>27748000</v>
      </c>
      <c r="D11" s="147">
        <f>14027000+8320000</f>
        <v>22347000</v>
      </c>
      <c r="E11" s="147"/>
      <c r="F11" s="147">
        <f t="shared" si="2"/>
        <v>22347000</v>
      </c>
      <c r="G11" s="142"/>
    </row>
    <row r="12" spans="1:7" ht="18" customHeight="1" x14ac:dyDescent="0.25">
      <c r="A12" s="146"/>
      <c r="B12" s="119" t="s">
        <v>142</v>
      </c>
      <c r="C12" s="147">
        <v>2210000</v>
      </c>
      <c r="D12" s="147"/>
      <c r="E12" s="147"/>
      <c r="F12" s="147">
        <f t="shared" si="2"/>
        <v>0</v>
      </c>
      <c r="G12" s="142"/>
    </row>
    <row r="13" spans="1:7" ht="18" customHeight="1" x14ac:dyDescent="0.25">
      <c r="A13" s="146"/>
      <c r="B13" s="119" t="s">
        <v>143</v>
      </c>
      <c r="C13" s="147">
        <v>2993000</v>
      </c>
      <c r="D13" s="147"/>
      <c r="E13" s="147"/>
      <c r="F13" s="147">
        <f t="shared" si="2"/>
        <v>0</v>
      </c>
      <c r="G13" s="142"/>
    </row>
    <row r="14" spans="1:7" ht="41.4" x14ac:dyDescent="0.25">
      <c r="A14" s="143">
        <v>2</v>
      </c>
      <c r="B14" s="59" t="s">
        <v>144</v>
      </c>
      <c r="C14" s="144">
        <f>SUM(C15:C19)</f>
        <v>1100000000</v>
      </c>
      <c r="D14" s="144">
        <f t="shared" ref="D14:F14" si="3">SUM(D15:D19)</f>
        <v>1064427000</v>
      </c>
      <c r="E14" s="144">
        <f t="shared" si="3"/>
        <v>959143000</v>
      </c>
      <c r="F14" s="144">
        <f t="shared" si="3"/>
        <v>105284000</v>
      </c>
      <c r="G14" s="145" t="s">
        <v>50</v>
      </c>
    </row>
    <row r="15" spans="1:7" ht="16.2" customHeight="1" x14ac:dyDescent="0.25">
      <c r="A15" s="146"/>
      <c r="B15" s="119" t="s">
        <v>139</v>
      </c>
      <c r="C15" s="148">
        <v>976905000</v>
      </c>
      <c r="D15" s="147">
        <v>959143000</v>
      </c>
      <c r="E15" s="147">
        <f>500000000+459143000</f>
        <v>959143000</v>
      </c>
      <c r="F15" s="147">
        <f>D15-E15</f>
        <v>0</v>
      </c>
      <c r="G15" s="142"/>
    </row>
    <row r="16" spans="1:7" ht="16.2" customHeight="1" x14ac:dyDescent="0.25">
      <c r="A16" s="146"/>
      <c r="B16" s="119" t="s">
        <v>140</v>
      </c>
      <c r="C16" s="147">
        <v>28340000</v>
      </c>
      <c r="D16" s="147">
        <v>25042000</v>
      </c>
      <c r="E16" s="147"/>
      <c r="F16" s="147">
        <f t="shared" ref="F16:F19" si="4">D16-E16</f>
        <v>25042000</v>
      </c>
      <c r="G16" s="142"/>
    </row>
    <row r="17" spans="1:7" ht="16.2" customHeight="1" x14ac:dyDescent="0.25">
      <c r="A17" s="146"/>
      <c r="B17" s="119" t="s">
        <v>141</v>
      </c>
      <c r="C17" s="148">
        <v>80698000</v>
      </c>
      <c r="D17" s="147">
        <f>55630000+24612000</f>
        <v>80242000</v>
      </c>
      <c r="E17" s="147"/>
      <c r="F17" s="147">
        <f t="shared" si="4"/>
        <v>80242000</v>
      </c>
      <c r="G17" s="142"/>
    </row>
    <row r="18" spans="1:7" ht="16.2" customHeight="1" x14ac:dyDescent="0.25">
      <c r="A18" s="146"/>
      <c r="B18" s="119" t="s">
        <v>142</v>
      </c>
      <c r="C18" s="147">
        <v>6770000</v>
      </c>
      <c r="D18" s="147"/>
      <c r="E18" s="147"/>
      <c r="F18" s="147">
        <f t="shared" si="4"/>
        <v>0</v>
      </c>
      <c r="G18" s="142"/>
    </row>
    <row r="19" spans="1:7" ht="16.2" customHeight="1" x14ac:dyDescent="0.25">
      <c r="A19" s="146"/>
      <c r="B19" s="119" t="s">
        <v>143</v>
      </c>
      <c r="C19" s="147">
        <v>7287000</v>
      </c>
      <c r="D19" s="147"/>
      <c r="E19" s="147"/>
      <c r="F19" s="147">
        <f t="shared" si="4"/>
        <v>0</v>
      </c>
      <c r="G19" s="142"/>
    </row>
    <row r="20" spans="1:7" ht="41.4" x14ac:dyDescent="0.25">
      <c r="A20" s="143">
        <v>3</v>
      </c>
      <c r="B20" s="59" t="s">
        <v>145</v>
      </c>
      <c r="C20" s="144">
        <f>SUM(C21:C23)</f>
        <v>997820000</v>
      </c>
      <c r="D20" s="144">
        <f t="shared" ref="D20:F20" si="5">SUM(D21:D23)</f>
        <v>966136000</v>
      </c>
      <c r="E20" s="144">
        <f t="shared" si="5"/>
        <v>920031000</v>
      </c>
      <c r="F20" s="144">
        <f t="shared" si="5"/>
        <v>46105000</v>
      </c>
      <c r="G20" s="145" t="s">
        <v>50</v>
      </c>
    </row>
    <row r="21" spans="1:7" ht="16.2" customHeight="1" x14ac:dyDescent="0.25">
      <c r="A21" s="146"/>
      <c r="B21" s="119" t="s">
        <v>139</v>
      </c>
      <c r="C21" s="148">
        <v>920031000</v>
      </c>
      <c r="D21" s="147">
        <v>920031000</v>
      </c>
      <c r="E21" s="147">
        <v>920031000</v>
      </c>
      <c r="F21" s="147">
        <f>D21-E21</f>
        <v>0</v>
      </c>
      <c r="G21" s="142"/>
    </row>
    <row r="22" spans="1:7" ht="16.2" customHeight="1" x14ac:dyDescent="0.25">
      <c r="A22" s="146"/>
      <c r="B22" s="119" t="s">
        <v>141</v>
      </c>
      <c r="C22" s="147">
        <v>71602000</v>
      </c>
      <c r="D22" s="147">
        <v>46105000</v>
      </c>
      <c r="E22" s="147"/>
      <c r="F22" s="147">
        <f t="shared" ref="F22:F23" si="6">D22-E22</f>
        <v>46105000</v>
      </c>
      <c r="G22" s="142"/>
    </row>
    <row r="23" spans="1:7" ht="16.2" customHeight="1" x14ac:dyDescent="0.25">
      <c r="A23" s="146"/>
      <c r="B23" s="119" t="s">
        <v>142</v>
      </c>
      <c r="C23" s="147">
        <v>6187000</v>
      </c>
      <c r="D23" s="147"/>
      <c r="E23" s="147"/>
      <c r="F23" s="147">
        <f t="shared" si="6"/>
        <v>0</v>
      </c>
      <c r="G23" s="142"/>
    </row>
    <row r="24" spans="1:7" s="201" customFormat="1" ht="27.6" x14ac:dyDescent="0.25">
      <c r="A24" s="197">
        <v>4</v>
      </c>
      <c r="B24" s="205" t="s">
        <v>146</v>
      </c>
      <c r="C24" s="199">
        <f>SUM(C25:C29)</f>
        <v>1132441000</v>
      </c>
      <c r="D24" s="199">
        <f t="shared" ref="D24:F24" si="7">SUM(D25:D29)</f>
        <v>447413000</v>
      </c>
      <c r="E24" s="199">
        <f t="shared" si="7"/>
        <v>21355000</v>
      </c>
      <c r="F24" s="199">
        <f t="shared" si="7"/>
        <v>426058000</v>
      </c>
      <c r="G24" s="200" t="s">
        <v>50</v>
      </c>
    </row>
    <row r="25" spans="1:7" s="201" customFormat="1" ht="17.399999999999999" customHeight="1" x14ac:dyDescent="0.25">
      <c r="A25" s="200"/>
      <c r="B25" s="202" t="s">
        <v>139</v>
      </c>
      <c r="C25" s="209">
        <v>987820000</v>
      </c>
      <c r="D25" s="203">
        <v>360464000</v>
      </c>
      <c r="E25" s="203"/>
      <c r="F25" s="203">
        <f>D25-E25</f>
        <v>360464000</v>
      </c>
      <c r="G25" s="204"/>
    </row>
    <row r="26" spans="1:7" s="201" customFormat="1" ht="17.399999999999999" customHeight="1" x14ac:dyDescent="0.25">
      <c r="A26" s="200"/>
      <c r="B26" s="202" t="s">
        <v>140</v>
      </c>
      <c r="C26" s="203">
        <v>30425000</v>
      </c>
      <c r="D26" s="203">
        <v>9810000</v>
      </c>
      <c r="E26" s="203">
        <v>9810000</v>
      </c>
      <c r="F26" s="203">
        <f t="shared" ref="F26:F29" si="8">D26-E26</f>
        <v>0</v>
      </c>
      <c r="G26" s="204"/>
    </row>
    <row r="27" spans="1:7" s="201" customFormat="1" ht="17.399999999999999" customHeight="1" x14ac:dyDescent="0.25">
      <c r="A27" s="200"/>
      <c r="B27" s="202" t="s">
        <v>141</v>
      </c>
      <c r="C27" s="209">
        <v>105858000</v>
      </c>
      <c r="D27" s="203">
        <f>11545000+65594000</f>
        <v>77139000</v>
      </c>
      <c r="E27" s="203">
        <v>11545000</v>
      </c>
      <c r="F27" s="203">
        <f t="shared" si="8"/>
        <v>65594000</v>
      </c>
      <c r="G27" s="204"/>
    </row>
    <row r="28" spans="1:7" s="201" customFormat="1" ht="17.399999999999999" customHeight="1" x14ac:dyDescent="0.25">
      <c r="A28" s="200"/>
      <c r="B28" s="202" t="s">
        <v>142</v>
      </c>
      <c r="C28" s="203">
        <v>6670000</v>
      </c>
      <c r="D28" s="203"/>
      <c r="E28" s="203"/>
      <c r="F28" s="203">
        <f t="shared" si="8"/>
        <v>0</v>
      </c>
      <c r="G28" s="204"/>
    </row>
    <row r="29" spans="1:7" s="201" customFormat="1" ht="17.399999999999999" customHeight="1" x14ac:dyDescent="0.25">
      <c r="A29" s="200"/>
      <c r="B29" s="202" t="s">
        <v>143</v>
      </c>
      <c r="C29" s="203">
        <v>1668000</v>
      </c>
      <c r="D29" s="203"/>
      <c r="E29" s="203"/>
      <c r="F29" s="203">
        <f t="shared" si="8"/>
        <v>0</v>
      </c>
      <c r="G29" s="204"/>
    </row>
    <row r="30" spans="1:7" ht="27.6" x14ac:dyDescent="0.25">
      <c r="A30" s="143">
        <v>5</v>
      </c>
      <c r="B30" s="59" t="s">
        <v>147</v>
      </c>
      <c r="C30" s="144">
        <f>SUM(C31:C35)</f>
        <v>486210000</v>
      </c>
      <c r="D30" s="144">
        <f t="shared" ref="D30:F30" si="9">SUM(D31:D35)</f>
        <v>483260000</v>
      </c>
      <c r="E30" s="144">
        <f t="shared" si="9"/>
        <v>473562000</v>
      </c>
      <c r="F30" s="144">
        <f t="shared" si="9"/>
        <v>9698000</v>
      </c>
      <c r="G30" s="145" t="s">
        <v>50</v>
      </c>
    </row>
    <row r="31" spans="1:7" ht="16.2" customHeight="1" x14ac:dyDescent="0.25">
      <c r="A31" s="146"/>
      <c r="B31" s="126" t="s">
        <v>139</v>
      </c>
      <c r="C31" s="149">
        <v>63562000</v>
      </c>
      <c r="D31" s="195">
        <v>457362000</v>
      </c>
      <c r="E31" s="195">
        <f>100000000+357362000</f>
        <v>457362000</v>
      </c>
      <c r="F31" s="195">
        <f>D31-E31</f>
        <v>0</v>
      </c>
      <c r="G31" s="142"/>
    </row>
    <row r="32" spans="1:7" ht="16.2" customHeight="1" x14ac:dyDescent="0.25">
      <c r="A32" s="146"/>
      <c r="B32" s="126" t="s">
        <v>148</v>
      </c>
      <c r="C32" s="149">
        <v>393800000</v>
      </c>
      <c r="D32" s="195"/>
      <c r="E32" s="195"/>
      <c r="F32" s="195"/>
      <c r="G32" s="142"/>
    </row>
    <row r="33" spans="1:7" ht="16.2" customHeight="1" x14ac:dyDescent="0.25">
      <c r="A33" s="146"/>
      <c r="B33" s="126" t="s">
        <v>149</v>
      </c>
      <c r="C33" s="149">
        <v>7596000</v>
      </c>
      <c r="D33" s="147">
        <v>6836000</v>
      </c>
      <c r="E33" s="147"/>
      <c r="F33" s="147">
        <f>D33-E33</f>
        <v>6836000</v>
      </c>
      <c r="G33" s="142"/>
    </row>
    <row r="34" spans="1:7" ht="16.2" customHeight="1" x14ac:dyDescent="0.25">
      <c r="A34" s="146"/>
      <c r="B34" s="126" t="s">
        <v>150</v>
      </c>
      <c r="C34" s="149">
        <v>19062000</v>
      </c>
      <c r="D34" s="147">
        <f>10800000+5400000+2862000</f>
        <v>19062000</v>
      </c>
      <c r="E34" s="147">
        <f>10800000+5400000</f>
        <v>16200000</v>
      </c>
      <c r="F34" s="147">
        <f t="shared" ref="F34:F35" si="10">D34-E34</f>
        <v>2862000</v>
      </c>
      <c r="G34" s="142"/>
    </row>
    <row r="35" spans="1:7" ht="16.2" customHeight="1" x14ac:dyDescent="0.25">
      <c r="A35" s="146"/>
      <c r="B35" s="126" t="s">
        <v>142</v>
      </c>
      <c r="C35" s="149">
        <v>2190000</v>
      </c>
      <c r="D35" s="147"/>
      <c r="E35" s="147"/>
      <c r="F35" s="147">
        <f t="shared" si="10"/>
        <v>0</v>
      </c>
      <c r="G35" s="142"/>
    </row>
    <row r="36" spans="1:7" s="201" customFormat="1" ht="27.6" x14ac:dyDescent="0.25">
      <c r="A36" s="197">
        <v>6</v>
      </c>
      <c r="B36" s="205" t="s">
        <v>151</v>
      </c>
      <c r="C36" s="199">
        <f>SUM(C37:C41)</f>
        <v>2800000000</v>
      </c>
      <c r="D36" s="199">
        <f t="shared" ref="D36:F36" si="11">SUM(D37:D41)</f>
        <v>2733720000</v>
      </c>
      <c r="E36" s="199">
        <f t="shared" si="11"/>
        <v>2137274000</v>
      </c>
      <c r="F36" s="199">
        <f t="shared" si="11"/>
        <v>596446000</v>
      </c>
      <c r="G36" s="200" t="s">
        <v>50</v>
      </c>
    </row>
    <row r="37" spans="1:7" s="201" customFormat="1" ht="16.8" customHeight="1" x14ac:dyDescent="0.25">
      <c r="A37" s="200"/>
      <c r="B37" s="202" t="s">
        <v>152</v>
      </c>
      <c r="C37" s="206">
        <v>2457558000</v>
      </c>
      <c r="D37" s="203">
        <v>2448962000</v>
      </c>
      <c r="E37" s="203">
        <v>1852516000</v>
      </c>
      <c r="F37" s="203">
        <f>D37-E37</f>
        <v>596446000</v>
      </c>
      <c r="G37" s="204"/>
    </row>
    <row r="38" spans="1:7" s="201" customFormat="1" ht="16.8" customHeight="1" x14ac:dyDescent="0.25">
      <c r="A38" s="200"/>
      <c r="B38" s="202" t="s">
        <v>153</v>
      </c>
      <c r="C38" s="206">
        <v>68812000</v>
      </c>
      <c r="D38" s="203">
        <v>58834000</v>
      </c>
      <c r="E38" s="203">
        <v>58834000</v>
      </c>
      <c r="F38" s="203">
        <f t="shared" ref="F38:F41" si="12">D38-E38</f>
        <v>0</v>
      </c>
      <c r="G38" s="204"/>
    </row>
    <row r="39" spans="1:7" s="201" customFormat="1" ht="16.8" customHeight="1" x14ac:dyDescent="0.25">
      <c r="A39" s="200"/>
      <c r="B39" s="202" t="s">
        <v>154</v>
      </c>
      <c r="C39" s="206">
        <v>242960000</v>
      </c>
      <c r="D39" s="203">
        <f>78440000+147484000</f>
        <v>225924000</v>
      </c>
      <c r="E39" s="203">
        <v>225924000</v>
      </c>
      <c r="F39" s="203">
        <f t="shared" si="12"/>
        <v>0</v>
      </c>
      <c r="G39" s="204"/>
    </row>
    <row r="40" spans="1:7" s="201" customFormat="1" ht="16.8" customHeight="1" x14ac:dyDescent="0.25">
      <c r="A40" s="200"/>
      <c r="B40" s="202" t="s">
        <v>155</v>
      </c>
      <c r="C40" s="206">
        <v>13739000</v>
      </c>
      <c r="D40" s="203"/>
      <c r="E40" s="203"/>
      <c r="F40" s="203">
        <f t="shared" si="12"/>
        <v>0</v>
      </c>
      <c r="G40" s="204"/>
    </row>
    <row r="41" spans="1:7" s="201" customFormat="1" ht="16.8" customHeight="1" x14ac:dyDescent="0.25">
      <c r="A41" s="200"/>
      <c r="B41" s="202" t="s">
        <v>156</v>
      </c>
      <c r="C41" s="206">
        <v>16931000</v>
      </c>
      <c r="D41" s="203"/>
      <c r="E41" s="203"/>
      <c r="F41" s="203">
        <f t="shared" si="12"/>
        <v>0</v>
      </c>
      <c r="G41" s="204"/>
    </row>
    <row r="42" spans="1:7" s="201" customFormat="1" ht="41.4" x14ac:dyDescent="0.25">
      <c r="A42" s="197">
        <v>7</v>
      </c>
      <c r="B42" s="205" t="s">
        <v>157</v>
      </c>
      <c r="C42" s="199">
        <f>SUM(C43:C47)</f>
        <v>1705488000</v>
      </c>
      <c r="D42" s="199">
        <f t="shared" ref="D42:F42" si="13">SUM(D43:D47)</f>
        <v>1591219000</v>
      </c>
      <c r="E42" s="199">
        <f t="shared" si="13"/>
        <v>1275654000</v>
      </c>
      <c r="F42" s="199">
        <f t="shared" si="13"/>
        <v>315565000</v>
      </c>
      <c r="G42" s="200" t="s">
        <v>50</v>
      </c>
    </row>
    <row r="43" spans="1:7" s="201" customFormat="1" ht="16.2" customHeight="1" x14ac:dyDescent="0.25">
      <c r="A43" s="200"/>
      <c r="B43" s="202" t="s">
        <v>152</v>
      </c>
      <c r="C43" s="206">
        <v>1385480000</v>
      </c>
      <c r="D43" s="207">
        <v>1380177000</v>
      </c>
      <c r="E43" s="203">
        <f>558669000+540857000</f>
        <v>1099526000</v>
      </c>
      <c r="F43" s="203">
        <f>D43-E43</f>
        <v>280651000</v>
      </c>
      <c r="G43" s="204"/>
    </row>
    <row r="44" spans="1:7" s="201" customFormat="1" ht="16.2" customHeight="1" x14ac:dyDescent="0.25">
      <c r="A44" s="200"/>
      <c r="B44" s="202" t="s">
        <v>153</v>
      </c>
      <c r="C44" s="206">
        <v>38793000</v>
      </c>
      <c r="D44" s="208">
        <v>34914000</v>
      </c>
      <c r="E44" s="203"/>
      <c r="F44" s="203">
        <f t="shared" ref="F44:F47" si="14">D44-E44</f>
        <v>34914000</v>
      </c>
      <c r="G44" s="204"/>
    </row>
    <row r="45" spans="1:7" s="201" customFormat="1" ht="16.2" customHeight="1" x14ac:dyDescent="0.25">
      <c r="A45" s="200"/>
      <c r="B45" s="202" t="s">
        <v>154</v>
      </c>
      <c r="C45" s="206">
        <v>180922000</v>
      </c>
      <c r="D45" s="203">
        <f>126165000+5586000+44377000</f>
        <v>176128000</v>
      </c>
      <c r="E45" s="203">
        <f>126165000+44377000+5586000</f>
        <v>176128000</v>
      </c>
      <c r="F45" s="203">
        <f t="shared" si="14"/>
        <v>0</v>
      </c>
      <c r="G45" s="204"/>
    </row>
    <row r="46" spans="1:7" s="201" customFormat="1" ht="16.2" customHeight="1" x14ac:dyDescent="0.25">
      <c r="A46" s="200"/>
      <c r="B46" s="202" t="s">
        <v>155</v>
      </c>
      <c r="C46" s="206">
        <v>19079000</v>
      </c>
      <c r="D46" s="203"/>
      <c r="E46" s="203"/>
      <c r="F46" s="203">
        <f t="shared" si="14"/>
        <v>0</v>
      </c>
      <c r="G46" s="204"/>
    </row>
    <row r="47" spans="1:7" s="201" customFormat="1" ht="16.2" customHeight="1" x14ac:dyDescent="0.25">
      <c r="A47" s="200"/>
      <c r="B47" s="202" t="s">
        <v>156</v>
      </c>
      <c r="C47" s="206">
        <v>81214000</v>
      </c>
      <c r="D47" s="203"/>
      <c r="E47" s="203"/>
      <c r="F47" s="203">
        <f t="shared" si="14"/>
        <v>0</v>
      </c>
      <c r="G47" s="204"/>
    </row>
    <row r="48" spans="1:7" ht="27.6" x14ac:dyDescent="0.25">
      <c r="A48" s="143">
        <v>8</v>
      </c>
      <c r="B48" s="59" t="s">
        <v>158</v>
      </c>
      <c r="C48" s="144">
        <f>SUM(C49:C53)</f>
        <v>503987000</v>
      </c>
      <c r="D48" s="144">
        <f t="shared" ref="D48:F48" si="15">SUM(D49:D53)</f>
        <v>449430000</v>
      </c>
      <c r="E48" s="144">
        <f t="shared" si="15"/>
        <v>205710000</v>
      </c>
      <c r="F48" s="144">
        <f t="shared" si="15"/>
        <v>243720000</v>
      </c>
      <c r="G48" s="145" t="s">
        <v>50</v>
      </c>
    </row>
    <row r="49" spans="1:7" ht="16.8" customHeight="1" x14ac:dyDescent="0.25">
      <c r="A49" s="146"/>
      <c r="B49" s="119" t="s">
        <v>152</v>
      </c>
      <c r="C49" s="149">
        <v>422000000</v>
      </c>
      <c r="D49" s="149">
        <v>422000000</v>
      </c>
      <c r="E49" s="147">
        <v>205710000</v>
      </c>
      <c r="F49" s="147">
        <f>D49-E49</f>
        <v>216290000</v>
      </c>
      <c r="G49" s="142"/>
    </row>
    <row r="50" spans="1:7" ht="16.8" customHeight="1" x14ac:dyDescent="0.25">
      <c r="A50" s="146"/>
      <c r="B50" s="119" t="s">
        <v>153</v>
      </c>
      <c r="C50" s="149">
        <v>12836000</v>
      </c>
      <c r="D50" s="147"/>
      <c r="E50" s="147"/>
      <c r="F50" s="147">
        <f t="shared" ref="F50:F53" si="16">D50-E50</f>
        <v>0</v>
      </c>
      <c r="G50" s="142"/>
    </row>
    <row r="51" spans="1:7" ht="16.8" customHeight="1" x14ac:dyDescent="0.25">
      <c r="A51" s="146"/>
      <c r="B51" s="119" t="s">
        <v>154</v>
      </c>
      <c r="C51" s="149">
        <v>41293000</v>
      </c>
      <c r="D51" s="147">
        <v>27430000</v>
      </c>
      <c r="E51" s="147"/>
      <c r="F51" s="147">
        <f t="shared" si="16"/>
        <v>27430000</v>
      </c>
      <c r="G51" s="142"/>
    </row>
    <row r="52" spans="1:7" ht="16.8" customHeight="1" x14ac:dyDescent="0.25">
      <c r="A52" s="146"/>
      <c r="B52" s="119" t="s">
        <v>155</v>
      </c>
      <c r="C52" s="149">
        <v>3373000</v>
      </c>
      <c r="D52" s="147"/>
      <c r="E52" s="147"/>
      <c r="F52" s="147">
        <f t="shared" si="16"/>
        <v>0</v>
      </c>
      <c r="G52" s="142"/>
    </row>
    <row r="53" spans="1:7" ht="16.8" customHeight="1" x14ac:dyDescent="0.25">
      <c r="A53" s="146"/>
      <c r="B53" s="119" t="s">
        <v>156</v>
      </c>
      <c r="C53" s="149">
        <v>24485000</v>
      </c>
      <c r="D53" s="147"/>
      <c r="E53" s="147"/>
      <c r="F53" s="147">
        <f t="shared" si="16"/>
        <v>0</v>
      </c>
      <c r="G53" s="142"/>
    </row>
    <row r="54" spans="1:7" ht="16.8" customHeight="1" x14ac:dyDescent="0.25">
      <c r="A54" s="143" t="s">
        <v>3</v>
      </c>
      <c r="B54" s="61" t="s">
        <v>120</v>
      </c>
      <c r="C54" s="144">
        <f>C55+C59</f>
        <v>832032000</v>
      </c>
      <c r="D54" s="144">
        <f t="shared" ref="D54:F54" si="17">D55+D59</f>
        <v>710825000</v>
      </c>
      <c r="E54" s="144">
        <f t="shared" si="17"/>
        <v>0</v>
      </c>
      <c r="F54" s="144">
        <f t="shared" si="17"/>
        <v>710825000</v>
      </c>
      <c r="G54" s="145"/>
    </row>
    <row r="55" spans="1:7" ht="27.6" x14ac:dyDescent="0.25">
      <c r="A55" s="143">
        <v>1</v>
      </c>
      <c r="B55" s="59" t="s">
        <v>159</v>
      </c>
      <c r="C55" s="144">
        <f>SUM(C56:C58)</f>
        <v>362622000</v>
      </c>
      <c r="D55" s="144">
        <f t="shared" ref="D55:F55" si="18">SUM(D56:D58)</f>
        <v>309268000</v>
      </c>
      <c r="E55" s="144">
        <f t="shared" si="18"/>
        <v>0</v>
      </c>
      <c r="F55" s="144">
        <f t="shared" si="18"/>
        <v>309268000</v>
      </c>
      <c r="G55" s="145" t="s">
        <v>50</v>
      </c>
    </row>
    <row r="56" spans="1:7" ht="16.2" customHeight="1" x14ac:dyDescent="0.25">
      <c r="A56" s="146"/>
      <c r="B56" s="119" t="s">
        <v>152</v>
      </c>
      <c r="C56" s="149">
        <v>334457000</v>
      </c>
      <c r="D56" s="147">
        <v>309268000</v>
      </c>
      <c r="E56" s="147"/>
      <c r="F56" s="147">
        <f>D56-E56</f>
        <v>309268000</v>
      </c>
      <c r="G56" s="142"/>
    </row>
    <row r="57" spans="1:7" ht="16.2" customHeight="1" x14ac:dyDescent="0.25">
      <c r="A57" s="146"/>
      <c r="B57" s="119" t="s">
        <v>154</v>
      </c>
      <c r="C57" s="149">
        <v>26029000</v>
      </c>
      <c r="D57" s="147"/>
      <c r="E57" s="147"/>
      <c r="F57" s="147">
        <f t="shared" ref="F57:F58" si="19">D57-E57</f>
        <v>0</v>
      </c>
      <c r="G57" s="142"/>
    </row>
    <row r="58" spans="1:7" ht="16.2" customHeight="1" x14ac:dyDescent="0.25">
      <c r="A58" s="146"/>
      <c r="B58" s="119" t="s">
        <v>155</v>
      </c>
      <c r="C58" s="149">
        <v>2136000</v>
      </c>
      <c r="D58" s="147"/>
      <c r="E58" s="147"/>
      <c r="F58" s="147">
        <f t="shared" si="19"/>
        <v>0</v>
      </c>
      <c r="G58" s="142"/>
    </row>
    <row r="59" spans="1:7" ht="27.6" x14ac:dyDescent="0.25">
      <c r="A59" s="143">
        <v>2</v>
      </c>
      <c r="B59" s="59" t="s">
        <v>160</v>
      </c>
      <c r="C59" s="144">
        <f>SUM(C60:C62)</f>
        <v>469410000</v>
      </c>
      <c r="D59" s="144">
        <f t="shared" ref="D59:F59" si="20">SUM(D60:D62)</f>
        <v>401557000</v>
      </c>
      <c r="E59" s="144">
        <f t="shared" si="20"/>
        <v>0</v>
      </c>
      <c r="F59" s="144">
        <f t="shared" si="20"/>
        <v>401557000</v>
      </c>
      <c r="G59" s="145" t="s">
        <v>50</v>
      </c>
    </row>
    <row r="60" spans="1:7" ht="17.399999999999999" customHeight="1" x14ac:dyDescent="0.25">
      <c r="A60" s="146"/>
      <c r="B60" s="119" t="s">
        <v>152</v>
      </c>
      <c r="C60" s="149">
        <v>432569000</v>
      </c>
      <c r="D60" s="147">
        <v>401557000</v>
      </c>
      <c r="E60" s="147"/>
      <c r="F60" s="147">
        <f>D60-E60</f>
        <v>401557000</v>
      </c>
      <c r="G60" s="142"/>
    </row>
    <row r="61" spans="1:7" ht="17.399999999999999" customHeight="1" x14ac:dyDescent="0.25">
      <c r="A61" s="146"/>
      <c r="B61" s="119" t="s">
        <v>154</v>
      </c>
      <c r="C61" s="149">
        <v>33665000</v>
      </c>
      <c r="D61" s="147"/>
      <c r="E61" s="147"/>
      <c r="F61" s="147">
        <f t="shared" ref="F61:F62" si="21">D61-E61</f>
        <v>0</v>
      </c>
      <c r="G61" s="142"/>
    </row>
    <row r="62" spans="1:7" ht="17.399999999999999" customHeight="1" x14ac:dyDescent="0.25">
      <c r="A62" s="146"/>
      <c r="B62" s="119" t="s">
        <v>155</v>
      </c>
      <c r="C62" s="149">
        <v>3176000</v>
      </c>
      <c r="D62" s="147"/>
      <c r="E62" s="147"/>
      <c r="F62" s="147">
        <f t="shared" si="21"/>
        <v>0</v>
      </c>
      <c r="G62" s="142"/>
    </row>
    <row r="63" spans="1:7" ht="17.399999999999999" customHeight="1" x14ac:dyDescent="0.25">
      <c r="A63" s="143" t="s">
        <v>6</v>
      </c>
      <c r="B63" s="61" t="s">
        <v>161</v>
      </c>
      <c r="C63" s="144">
        <f>C64+C70</f>
        <v>2260466560</v>
      </c>
      <c r="D63" s="144">
        <f t="shared" ref="D63:F63" si="22">D64+D70</f>
        <v>1999223000</v>
      </c>
      <c r="E63" s="144">
        <f t="shared" si="22"/>
        <v>1476196000</v>
      </c>
      <c r="F63" s="144">
        <f t="shared" si="22"/>
        <v>523027000</v>
      </c>
      <c r="G63" s="142"/>
    </row>
    <row r="64" spans="1:7" ht="17.399999999999999" customHeight="1" x14ac:dyDescent="0.25">
      <c r="A64" s="143">
        <v>1</v>
      </c>
      <c r="B64" s="59" t="s">
        <v>162</v>
      </c>
      <c r="C64" s="144">
        <f>SUM(C65:C69)</f>
        <v>1099386000</v>
      </c>
      <c r="D64" s="144">
        <f t="shared" ref="D64:F64" si="23">SUM(D65:D69)</f>
        <v>988912000</v>
      </c>
      <c r="E64" s="144">
        <f t="shared" si="23"/>
        <v>927169000</v>
      </c>
      <c r="F64" s="144">
        <f t="shared" si="23"/>
        <v>61743000</v>
      </c>
      <c r="G64" s="145" t="s">
        <v>50</v>
      </c>
    </row>
    <row r="65" spans="1:7" ht="17.399999999999999" customHeight="1" x14ac:dyDescent="0.25">
      <c r="A65" s="146"/>
      <c r="B65" s="119" t="s">
        <v>152</v>
      </c>
      <c r="C65" s="147">
        <v>917330000</v>
      </c>
      <c r="D65" s="147">
        <v>874861000</v>
      </c>
      <c r="E65" s="147">
        <f>801787020+11330980</f>
        <v>813118000</v>
      </c>
      <c r="F65" s="147">
        <f>D65-E65</f>
        <v>61743000</v>
      </c>
      <c r="G65" s="142"/>
    </row>
    <row r="66" spans="1:7" ht="17.399999999999999" customHeight="1" x14ac:dyDescent="0.25">
      <c r="A66" s="146"/>
      <c r="B66" s="119" t="s">
        <v>153</v>
      </c>
      <c r="C66" s="147">
        <v>28254000</v>
      </c>
      <c r="D66" s="147">
        <v>24966000</v>
      </c>
      <c r="E66" s="147">
        <v>24966000</v>
      </c>
      <c r="F66" s="147">
        <f t="shared" ref="F66:F69" si="24">D66-E66</f>
        <v>0</v>
      </c>
      <c r="G66" s="142"/>
    </row>
    <row r="67" spans="1:7" ht="17.399999999999999" customHeight="1" x14ac:dyDescent="0.25">
      <c r="A67" s="146"/>
      <c r="B67" s="119" t="s">
        <v>154</v>
      </c>
      <c r="C67" s="147">
        <v>94123000</v>
      </c>
      <c r="D67" s="147">
        <v>89085000</v>
      </c>
      <c r="E67" s="147">
        <f>59703000+29382000</f>
        <v>89085000</v>
      </c>
      <c r="F67" s="147">
        <f t="shared" si="24"/>
        <v>0</v>
      </c>
      <c r="G67" s="142"/>
    </row>
    <row r="68" spans="1:7" ht="17.399999999999999" customHeight="1" x14ac:dyDescent="0.25">
      <c r="A68" s="146"/>
      <c r="B68" s="119" t="s">
        <v>155</v>
      </c>
      <c r="C68" s="147">
        <v>6475000</v>
      </c>
      <c r="D68" s="147"/>
      <c r="E68" s="147"/>
      <c r="F68" s="147">
        <f t="shared" si="24"/>
        <v>0</v>
      </c>
      <c r="G68" s="142"/>
    </row>
    <row r="69" spans="1:7" ht="17.399999999999999" customHeight="1" x14ac:dyDescent="0.25">
      <c r="A69" s="146"/>
      <c r="B69" s="119" t="s">
        <v>156</v>
      </c>
      <c r="C69" s="147">
        <v>53204000</v>
      </c>
      <c r="D69" s="147"/>
      <c r="E69" s="147"/>
      <c r="F69" s="147">
        <f t="shared" si="24"/>
        <v>0</v>
      </c>
      <c r="G69" s="142"/>
    </row>
    <row r="70" spans="1:7" ht="41.4" x14ac:dyDescent="0.25">
      <c r="A70" s="143">
        <v>2</v>
      </c>
      <c r="B70" s="59" t="s">
        <v>163</v>
      </c>
      <c r="C70" s="144">
        <f>C71</f>
        <v>1161080560</v>
      </c>
      <c r="D70" s="144">
        <f t="shared" ref="D70:F70" si="25">D71</f>
        <v>1010311000</v>
      </c>
      <c r="E70" s="144">
        <f t="shared" si="25"/>
        <v>549027000</v>
      </c>
      <c r="F70" s="144">
        <f t="shared" si="25"/>
        <v>461284000</v>
      </c>
      <c r="G70" s="145" t="s">
        <v>50</v>
      </c>
    </row>
    <row r="71" spans="1:7" ht="17.399999999999999" customHeight="1" x14ac:dyDescent="0.25">
      <c r="A71" s="146"/>
      <c r="B71" s="119" t="s">
        <v>152</v>
      </c>
      <c r="C71" s="147">
        <v>1161080560</v>
      </c>
      <c r="D71" s="147">
        <v>1010311000</v>
      </c>
      <c r="E71" s="147">
        <f>349027000+200000000</f>
        <v>549027000</v>
      </c>
      <c r="F71" s="147">
        <f>D71-E71</f>
        <v>461284000</v>
      </c>
      <c r="G71" s="142"/>
    </row>
    <row r="72" spans="1:7" ht="17.399999999999999" customHeight="1" x14ac:dyDescent="0.25">
      <c r="A72" s="143" t="s">
        <v>164</v>
      </c>
      <c r="B72" s="61" t="s">
        <v>165</v>
      </c>
      <c r="C72" s="144">
        <f>C73+C76+C82+C88</f>
        <v>7320455000</v>
      </c>
      <c r="D72" s="144">
        <f t="shared" ref="D72:F72" si="26">D73+D76+D82+D88</f>
        <v>6825169000</v>
      </c>
      <c r="E72" s="144">
        <f t="shared" si="26"/>
        <v>6357083000</v>
      </c>
      <c r="F72" s="144">
        <f t="shared" si="26"/>
        <v>468086000</v>
      </c>
      <c r="G72" s="142"/>
    </row>
    <row r="73" spans="1:7" ht="27.6" x14ac:dyDescent="0.25">
      <c r="A73" s="143">
        <v>1</v>
      </c>
      <c r="B73" s="59" t="s">
        <v>166</v>
      </c>
      <c r="C73" s="144">
        <f>SUM(C74:C75)</f>
        <v>124518000</v>
      </c>
      <c r="D73" s="144">
        <f t="shared" ref="D73:F73" si="27">SUM(D74:D75)</f>
        <v>117270000</v>
      </c>
      <c r="E73" s="144">
        <f t="shared" si="27"/>
        <v>0</v>
      </c>
      <c r="F73" s="144">
        <f t="shared" si="27"/>
        <v>117270000</v>
      </c>
      <c r="G73" s="142"/>
    </row>
    <row r="74" spans="1:7" ht="16.8" customHeight="1" x14ac:dyDescent="0.25">
      <c r="A74" s="146"/>
      <c r="B74" s="150" t="s">
        <v>167</v>
      </c>
      <c r="C74" s="147">
        <v>51085000</v>
      </c>
      <c r="D74" s="147">
        <v>47509000</v>
      </c>
      <c r="E74" s="147"/>
      <c r="F74" s="147">
        <f>D74-E74</f>
        <v>47509000</v>
      </c>
      <c r="G74" s="142"/>
    </row>
    <row r="75" spans="1:7" ht="16.8" customHeight="1" x14ac:dyDescent="0.25">
      <c r="A75" s="146"/>
      <c r="B75" s="150" t="s">
        <v>168</v>
      </c>
      <c r="C75" s="147">
        <v>73433000</v>
      </c>
      <c r="D75" s="147">
        <v>69761000</v>
      </c>
      <c r="E75" s="147"/>
      <c r="F75" s="147">
        <f>D75-E75</f>
        <v>69761000</v>
      </c>
      <c r="G75" s="142"/>
    </row>
    <row r="76" spans="1:7" ht="16.8" customHeight="1" x14ac:dyDescent="0.25">
      <c r="A76" s="143">
        <v>2</v>
      </c>
      <c r="B76" s="59" t="s">
        <v>169</v>
      </c>
      <c r="C76" s="144">
        <f>SUM(C77:C81)</f>
        <v>4018740000</v>
      </c>
      <c r="D76" s="144">
        <f t="shared" ref="D76:F76" si="28">SUM(D77:D81)</f>
        <v>3773457000</v>
      </c>
      <c r="E76" s="144">
        <f t="shared" si="28"/>
        <v>3594994000</v>
      </c>
      <c r="F76" s="144">
        <f t="shared" si="28"/>
        <v>178463000</v>
      </c>
      <c r="G76" s="145" t="s">
        <v>50</v>
      </c>
    </row>
    <row r="77" spans="1:7" ht="16.8" customHeight="1" x14ac:dyDescent="0.25">
      <c r="A77" s="146"/>
      <c r="B77" s="119" t="s">
        <v>152</v>
      </c>
      <c r="C77" s="147">
        <v>3431808000</v>
      </c>
      <c r="D77" s="147">
        <v>3422250000</v>
      </c>
      <c r="E77" s="147">
        <v>3422250000</v>
      </c>
      <c r="F77" s="147">
        <f>D77-E77</f>
        <v>0</v>
      </c>
      <c r="G77" s="142"/>
    </row>
    <row r="78" spans="1:7" ht="16.8" customHeight="1" x14ac:dyDescent="0.25">
      <c r="A78" s="146"/>
      <c r="B78" s="119" t="s">
        <v>153</v>
      </c>
      <c r="C78" s="147">
        <v>86201000</v>
      </c>
      <c r="D78" s="147">
        <v>77446000</v>
      </c>
      <c r="E78" s="147"/>
      <c r="F78" s="147">
        <f t="shared" ref="F78:F81" si="29">D78-E78</f>
        <v>77446000</v>
      </c>
      <c r="G78" s="142"/>
    </row>
    <row r="79" spans="1:7" ht="16.8" customHeight="1" x14ac:dyDescent="0.25">
      <c r="A79" s="146"/>
      <c r="B79" s="119" t="s">
        <v>154</v>
      </c>
      <c r="C79" s="147">
        <v>275618000</v>
      </c>
      <c r="D79" s="147">
        <v>252316000</v>
      </c>
      <c r="E79" s="147">
        <f>147874000+3425000</f>
        <v>151299000</v>
      </c>
      <c r="F79" s="147">
        <f t="shared" si="29"/>
        <v>101017000</v>
      </c>
      <c r="G79" s="142"/>
    </row>
    <row r="80" spans="1:7" ht="16.8" customHeight="1" x14ac:dyDescent="0.25">
      <c r="A80" s="146"/>
      <c r="B80" s="119" t="s">
        <v>155</v>
      </c>
      <c r="C80" s="147">
        <v>33221000</v>
      </c>
      <c r="D80" s="147">
        <v>21445000</v>
      </c>
      <c r="E80" s="147">
        <v>21445000</v>
      </c>
      <c r="F80" s="147">
        <f t="shared" si="29"/>
        <v>0</v>
      </c>
      <c r="G80" s="142"/>
    </row>
    <row r="81" spans="1:7" ht="16.8" customHeight="1" x14ac:dyDescent="0.25">
      <c r="A81" s="146"/>
      <c r="B81" s="119" t="s">
        <v>156</v>
      </c>
      <c r="C81" s="147">
        <v>191892000</v>
      </c>
      <c r="D81" s="147"/>
      <c r="E81" s="147"/>
      <c r="F81" s="147">
        <f t="shared" si="29"/>
        <v>0</v>
      </c>
      <c r="G81" s="142"/>
    </row>
    <row r="82" spans="1:7" ht="27.6" x14ac:dyDescent="0.25">
      <c r="A82" s="143">
        <v>3</v>
      </c>
      <c r="B82" s="59" t="s">
        <v>170</v>
      </c>
      <c r="C82" s="144">
        <f>SUM(C83:C87)</f>
        <v>2000000000</v>
      </c>
      <c r="D82" s="144">
        <f t="shared" ref="D82:F82" si="30">SUM(D83:D87)</f>
        <v>1885168000</v>
      </c>
      <c r="E82" s="144">
        <f t="shared" si="30"/>
        <v>1835350000</v>
      </c>
      <c r="F82" s="144">
        <f t="shared" si="30"/>
        <v>49818000</v>
      </c>
      <c r="G82" s="145" t="s">
        <v>50</v>
      </c>
    </row>
    <row r="83" spans="1:7" ht="16.8" customHeight="1" x14ac:dyDescent="0.25">
      <c r="A83" s="146"/>
      <c r="B83" s="119" t="s">
        <v>152</v>
      </c>
      <c r="C83" s="147">
        <v>1695286000</v>
      </c>
      <c r="D83" s="147">
        <v>1654750000</v>
      </c>
      <c r="E83" s="147">
        <f>1623517000+24658000</f>
        <v>1648175000</v>
      </c>
      <c r="F83" s="147">
        <f>D83-E83</f>
        <v>6575000</v>
      </c>
      <c r="G83" s="142"/>
    </row>
    <row r="84" spans="1:7" ht="16.8" customHeight="1" x14ac:dyDescent="0.25">
      <c r="A84" s="146"/>
      <c r="B84" s="119" t="s">
        <v>153</v>
      </c>
      <c r="C84" s="147">
        <v>52690000</v>
      </c>
      <c r="D84" s="147">
        <v>36883000</v>
      </c>
      <c r="E84" s="147">
        <v>36883000</v>
      </c>
      <c r="F84" s="147">
        <f t="shared" ref="F84:F87" si="31">D84-E84</f>
        <v>0</v>
      </c>
      <c r="G84" s="142"/>
    </row>
    <row r="85" spans="1:7" ht="16.8" customHeight="1" x14ac:dyDescent="0.25">
      <c r="A85" s="146"/>
      <c r="B85" s="119" t="s">
        <v>154</v>
      </c>
      <c r="C85" s="147">
        <v>197234000</v>
      </c>
      <c r="D85" s="147">
        <f>139600000+43243000</f>
        <v>182843000</v>
      </c>
      <c r="E85" s="147">
        <v>139600000</v>
      </c>
      <c r="F85" s="147">
        <f t="shared" si="31"/>
        <v>43243000</v>
      </c>
      <c r="G85" s="142"/>
    </row>
    <row r="86" spans="1:7" ht="16.8" customHeight="1" x14ac:dyDescent="0.25">
      <c r="A86" s="146"/>
      <c r="B86" s="119" t="s">
        <v>155</v>
      </c>
      <c r="C86" s="147">
        <v>28137000</v>
      </c>
      <c r="D86" s="147">
        <v>10692000</v>
      </c>
      <c r="E86" s="147">
        <v>10692000</v>
      </c>
      <c r="F86" s="147">
        <f t="shared" si="31"/>
        <v>0</v>
      </c>
      <c r="G86" s="142"/>
    </row>
    <row r="87" spans="1:7" ht="16.8" customHeight="1" x14ac:dyDescent="0.25">
      <c r="A87" s="146"/>
      <c r="B87" s="119" t="s">
        <v>156</v>
      </c>
      <c r="C87" s="147">
        <v>26653000</v>
      </c>
      <c r="D87" s="147"/>
      <c r="E87" s="147"/>
      <c r="F87" s="147">
        <f t="shared" si="31"/>
        <v>0</v>
      </c>
      <c r="G87" s="142"/>
    </row>
    <row r="88" spans="1:7" s="201" customFormat="1" ht="16.8" customHeight="1" x14ac:dyDescent="0.25">
      <c r="A88" s="197">
        <v>4</v>
      </c>
      <c r="B88" s="198" t="s">
        <v>171</v>
      </c>
      <c r="C88" s="199">
        <f>SUM(C89:C93)</f>
        <v>1177197000</v>
      </c>
      <c r="D88" s="199">
        <f t="shared" ref="D88:F88" si="32">SUM(D89:D93)</f>
        <v>1049274000</v>
      </c>
      <c r="E88" s="199">
        <f t="shared" si="32"/>
        <v>926739000</v>
      </c>
      <c r="F88" s="199">
        <f t="shared" si="32"/>
        <v>122535000</v>
      </c>
      <c r="G88" s="200" t="s">
        <v>50</v>
      </c>
    </row>
    <row r="89" spans="1:7" s="201" customFormat="1" ht="16.8" customHeight="1" x14ac:dyDescent="0.25">
      <c r="A89" s="200"/>
      <c r="B89" s="202" t="s">
        <v>152</v>
      </c>
      <c r="C89" s="203">
        <v>987192000</v>
      </c>
      <c r="D89" s="203">
        <v>960266000</v>
      </c>
      <c r="E89" s="203">
        <v>864239000</v>
      </c>
      <c r="F89" s="203">
        <f>D89-E89</f>
        <v>96027000</v>
      </c>
      <c r="G89" s="204"/>
    </row>
    <row r="90" spans="1:7" s="201" customFormat="1" ht="16.8" customHeight="1" x14ac:dyDescent="0.25">
      <c r="A90" s="200"/>
      <c r="B90" s="202" t="s">
        <v>153</v>
      </c>
      <c r="C90" s="203">
        <v>29454000</v>
      </c>
      <c r="D90" s="203">
        <v>26508000</v>
      </c>
      <c r="E90" s="203"/>
      <c r="F90" s="203">
        <f t="shared" ref="F90:F93" si="33">D90-E90</f>
        <v>26508000</v>
      </c>
      <c r="G90" s="204"/>
    </row>
    <row r="91" spans="1:7" s="201" customFormat="1" ht="16.8" customHeight="1" x14ac:dyDescent="0.25">
      <c r="A91" s="200"/>
      <c r="B91" s="202" t="s">
        <v>154</v>
      </c>
      <c r="C91" s="203">
        <v>99633000</v>
      </c>
      <c r="D91" s="203">
        <v>62500000</v>
      </c>
      <c r="E91" s="203">
        <v>62500000</v>
      </c>
      <c r="F91" s="203">
        <f t="shared" si="33"/>
        <v>0</v>
      </c>
      <c r="G91" s="204"/>
    </row>
    <row r="92" spans="1:7" s="201" customFormat="1" ht="16.8" customHeight="1" x14ac:dyDescent="0.25">
      <c r="A92" s="200"/>
      <c r="B92" s="202" t="s">
        <v>155</v>
      </c>
      <c r="C92" s="203">
        <v>4698000</v>
      </c>
      <c r="D92" s="203"/>
      <c r="E92" s="203"/>
      <c r="F92" s="203">
        <f t="shared" si="33"/>
        <v>0</v>
      </c>
      <c r="G92" s="204"/>
    </row>
    <row r="93" spans="1:7" s="201" customFormat="1" ht="16.8" customHeight="1" x14ac:dyDescent="0.25">
      <c r="A93" s="200"/>
      <c r="B93" s="202" t="s">
        <v>156</v>
      </c>
      <c r="C93" s="203">
        <v>56220000</v>
      </c>
      <c r="D93" s="203"/>
      <c r="E93" s="203"/>
      <c r="F93" s="203">
        <f t="shared" si="33"/>
        <v>0</v>
      </c>
      <c r="G93" s="204"/>
    </row>
    <row r="94" spans="1:7" ht="16.8" customHeight="1" x14ac:dyDescent="0.25">
      <c r="A94" s="143" t="s">
        <v>172</v>
      </c>
      <c r="B94" s="61" t="s">
        <v>173</v>
      </c>
      <c r="C94" s="144">
        <f>C95</f>
        <v>625742000</v>
      </c>
      <c r="D94" s="144">
        <f t="shared" ref="D94:F94" si="34">D95</f>
        <v>575533000</v>
      </c>
      <c r="E94" s="144">
        <f t="shared" si="34"/>
        <v>547738000</v>
      </c>
      <c r="F94" s="144">
        <f t="shared" si="34"/>
        <v>27795000</v>
      </c>
      <c r="G94" s="142"/>
    </row>
    <row r="95" spans="1:7" ht="16.8" customHeight="1" x14ac:dyDescent="0.25">
      <c r="A95" s="143">
        <v>1</v>
      </c>
      <c r="B95" s="60" t="s">
        <v>174</v>
      </c>
      <c r="C95" s="144">
        <f>SUM(C96:C100)</f>
        <v>625742000</v>
      </c>
      <c r="D95" s="144">
        <f t="shared" ref="D95:F95" si="35">SUM(D96:D100)</f>
        <v>575533000</v>
      </c>
      <c r="E95" s="144">
        <f t="shared" si="35"/>
        <v>547738000</v>
      </c>
      <c r="F95" s="144">
        <f t="shared" si="35"/>
        <v>27795000</v>
      </c>
      <c r="G95" s="145" t="s">
        <v>50</v>
      </c>
    </row>
    <row r="96" spans="1:7" ht="16.8" customHeight="1" x14ac:dyDescent="0.25">
      <c r="A96" s="146"/>
      <c r="B96" s="119" t="s">
        <v>152</v>
      </c>
      <c r="C96" s="147">
        <v>517273000</v>
      </c>
      <c r="D96" s="147">
        <v>499099000</v>
      </c>
      <c r="E96" s="147">
        <v>499099000</v>
      </c>
      <c r="F96" s="147">
        <f>D96-E96</f>
        <v>0</v>
      </c>
      <c r="G96" s="142"/>
    </row>
    <row r="97" spans="1:7" ht="16.8" customHeight="1" x14ac:dyDescent="0.25">
      <c r="A97" s="146"/>
      <c r="B97" s="119" t="s">
        <v>153</v>
      </c>
      <c r="C97" s="147">
        <v>15434000</v>
      </c>
      <c r="D97" s="147">
        <v>10803000</v>
      </c>
      <c r="E97" s="147"/>
      <c r="F97" s="147">
        <f t="shared" ref="F97:F100" si="36">D97-E97</f>
        <v>10803000</v>
      </c>
      <c r="G97" s="142"/>
    </row>
    <row r="98" spans="1:7" ht="16.8" customHeight="1" x14ac:dyDescent="0.25">
      <c r="A98" s="146"/>
      <c r="B98" s="119" t="s">
        <v>154</v>
      </c>
      <c r="C98" s="147">
        <v>63254000</v>
      </c>
      <c r="D98" s="147">
        <f>46261000+16992000</f>
        <v>63253000</v>
      </c>
      <c r="E98" s="147">
        <v>46261000</v>
      </c>
      <c r="F98" s="147">
        <f t="shared" si="36"/>
        <v>16992000</v>
      </c>
      <c r="G98" s="142"/>
    </row>
    <row r="99" spans="1:7" ht="16.8" customHeight="1" x14ac:dyDescent="0.25">
      <c r="A99" s="146"/>
      <c r="B99" s="119" t="s">
        <v>155</v>
      </c>
      <c r="C99" s="147">
        <v>2497000</v>
      </c>
      <c r="D99" s="147">
        <v>2378000</v>
      </c>
      <c r="E99" s="147">
        <v>2378000</v>
      </c>
      <c r="F99" s="147">
        <f t="shared" si="36"/>
        <v>0</v>
      </c>
      <c r="G99" s="142"/>
    </row>
    <row r="100" spans="1:7" ht="16.8" customHeight="1" x14ac:dyDescent="0.25">
      <c r="A100" s="146"/>
      <c r="B100" s="119" t="s">
        <v>156</v>
      </c>
      <c r="C100" s="147">
        <v>27284000</v>
      </c>
      <c r="D100" s="147"/>
      <c r="E100" s="147"/>
      <c r="F100" s="147">
        <f t="shared" si="36"/>
        <v>0</v>
      </c>
      <c r="G100" s="142"/>
    </row>
    <row r="101" spans="1:7" ht="16.8" customHeight="1" x14ac:dyDescent="0.25">
      <c r="A101" s="143" t="s">
        <v>175</v>
      </c>
      <c r="B101" s="61" t="s">
        <v>176</v>
      </c>
      <c r="C101" s="144">
        <f>C102</f>
        <v>1084291000</v>
      </c>
      <c r="D101" s="144">
        <f t="shared" ref="D101:F101" si="37">D102</f>
        <v>867523000</v>
      </c>
      <c r="E101" s="144">
        <f t="shared" si="37"/>
        <v>840152000</v>
      </c>
      <c r="F101" s="144">
        <f t="shared" si="37"/>
        <v>27371000</v>
      </c>
      <c r="G101" s="142"/>
    </row>
    <row r="102" spans="1:7" ht="16.8" customHeight="1" x14ac:dyDescent="0.25">
      <c r="A102" s="143">
        <v>1</v>
      </c>
      <c r="B102" s="59" t="s">
        <v>177</v>
      </c>
      <c r="C102" s="144">
        <f>SUM(C103:C107)</f>
        <v>1084291000</v>
      </c>
      <c r="D102" s="144">
        <f t="shared" ref="D102:F102" si="38">SUM(D103:D107)</f>
        <v>867523000</v>
      </c>
      <c r="E102" s="144">
        <f t="shared" si="38"/>
        <v>840152000</v>
      </c>
      <c r="F102" s="144">
        <f t="shared" si="38"/>
        <v>27371000</v>
      </c>
      <c r="G102" s="145" t="s">
        <v>50</v>
      </c>
    </row>
    <row r="103" spans="1:7" ht="16.8" customHeight="1" x14ac:dyDescent="0.25">
      <c r="A103" s="146"/>
      <c r="B103" s="119" t="s">
        <v>152</v>
      </c>
      <c r="C103" s="147">
        <v>854549000</v>
      </c>
      <c r="D103" s="147">
        <v>772201000</v>
      </c>
      <c r="E103" s="147">
        <v>772201000</v>
      </c>
      <c r="F103" s="147">
        <f>D103-E103</f>
        <v>0</v>
      </c>
      <c r="G103" s="142"/>
    </row>
    <row r="104" spans="1:7" ht="16.8" customHeight="1" x14ac:dyDescent="0.25">
      <c r="A104" s="146"/>
      <c r="B104" s="119" t="s">
        <v>153</v>
      </c>
      <c r="C104" s="147">
        <v>22809000</v>
      </c>
      <c r="D104" s="147"/>
      <c r="E104" s="147"/>
      <c r="F104" s="147">
        <f t="shared" ref="F104:F107" si="39">D104-E104</f>
        <v>0</v>
      </c>
      <c r="G104" s="142"/>
    </row>
    <row r="105" spans="1:7" ht="16.8" customHeight="1" x14ac:dyDescent="0.25">
      <c r="A105" s="146"/>
      <c r="B105" s="119" t="s">
        <v>154</v>
      </c>
      <c r="C105" s="147">
        <v>103001000</v>
      </c>
      <c r="D105" s="147">
        <f>67951000+27371000</f>
        <v>95322000</v>
      </c>
      <c r="E105" s="147">
        <v>67951000</v>
      </c>
      <c r="F105" s="147">
        <f t="shared" si="39"/>
        <v>27371000</v>
      </c>
      <c r="G105" s="142"/>
    </row>
    <row r="106" spans="1:7" ht="16.8" customHeight="1" x14ac:dyDescent="0.25">
      <c r="A106" s="146"/>
      <c r="B106" s="119" t="s">
        <v>155</v>
      </c>
      <c r="C106" s="147">
        <v>52299000</v>
      </c>
      <c r="D106" s="147"/>
      <c r="E106" s="147"/>
      <c r="F106" s="147">
        <f>D106-E106</f>
        <v>0</v>
      </c>
      <c r="G106" s="142"/>
    </row>
    <row r="107" spans="1:7" ht="16.8" customHeight="1" x14ac:dyDescent="0.25">
      <c r="A107" s="146"/>
      <c r="B107" s="119" t="s">
        <v>156</v>
      </c>
      <c r="C107" s="147">
        <v>51633000</v>
      </c>
      <c r="D107" s="147"/>
      <c r="E107" s="147"/>
      <c r="F107" s="147">
        <f t="shared" si="39"/>
        <v>0</v>
      </c>
      <c r="G107" s="142"/>
    </row>
    <row r="108" spans="1:7" ht="16.8" customHeight="1" x14ac:dyDescent="0.25">
      <c r="A108" s="143" t="s">
        <v>178</v>
      </c>
      <c r="B108" s="61" t="s">
        <v>179</v>
      </c>
      <c r="C108" s="144">
        <f>C109+C115+C121</f>
        <v>3255360000</v>
      </c>
      <c r="D108" s="144">
        <f t="shared" ref="D108:F108" si="40">D109+D115+D121</f>
        <v>2706823000</v>
      </c>
      <c r="E108" s="144">
        <f t="shared" si="40"/>
        <v>2105315000</v>
      </c>
      <c r="F108" s="144">
        <f t="shared" si="40"/>
        <v>601508000</v>
      </c>
      <c r="G108" s="142"/>
    </row>
    <row r="109" spans="1:7" ht="16.8" customHeight="1" x14ac:dyDescent="0.25">
      <c r="A109" s="143">
        <v>1</v>
      </c>
      <c r="B109" s="59" t="s">
        <v>180</v>
      </c>
      <c r="C109" s="144">
        <f>SUM(C110:C114)</f>
        <v>1083062000</v>
      </c>
      <c r="D109" s="144">
        <f t="shared" ref="D109:F109" si="41">SUM(D110:D114)</f>
        <v>832799000</v>
      </c>
      <c r="E109" s="144">
        <f t="shared" si="41"/>
        <v>790818000</v>
      </c>
      <c r="F109" s="144">
        <f t="shared" si="41"/>
        <v>41981000</v>
      </c>
      <c r="G109" s="145" t="s">
        <v>50</v>
      </c>
    </row>
    <row r="110" spans="1:7" ht="16.8" customHeight="1" x14ac:dyDescent="0.25">
      <c r="A110" s="146"/>
      <c r="B110" s="119" t="s">
        <v>152</v>
      </c>
      <c r="C110" s="147">
        <v>909013000</v>
      </c>
      <c r="D110" s="147">
        <v>775646000</v>
      </c>
      <c r="E110" s="147">
        <v>750000000</v>
      </c>
      <c r="F110" s="147">
        <f>D110-E110</f>
        <v>25646000</v>
      </c>
      <c r="G110" s="142"/>
    </row>
    <row r="111" spans="1:7" ht="16.8" customHeight="1" x14ac:dyDescent="0.25">
      <c r="A111" s="146"/>
      <c r="B111" s="119" t="s">
        <v>153</v>
      </c>
      <c r="C111" s="147">
        <v>17560000</v>
      </c>
      <c r="D111" s="147"/>
      <c r="E111" s="147"/>
      <c r="F111" s="147">
        <f t="shared" ref="F111:F114" si="42">D111-E111</f>
        <v>0</v>
      </c>
      <c r="G111" s="142"/>
    </row>
    <row r="112" spans="1:7" ht="16.8" customHeight="1" x14ac:dyDescent="0.25">
      <c r="A112" s="146"/>
      <c r="B112" s="119" t="s">
        <v>154</v>
      </c>
      <c r="C112" s="147">
        <v>67356000</v>
      </c>
      <c r="D112" s="147">
        <f>40818000+16335000</f>
        <v>57153000</v>
      </c>
      <c r="E112" s="147">
        <v>40818000</v>
      </c>
      <c r="F112" s="147">
        <f t="shared" si="42"/>
        <v>16335000</v>
      </c>
      <c r="G112" s="142"/>
    </row>
    <row r="113" spans="1:7" ht="16.8" customHeight="1" x14ac:dyDescent="0.25">
      <c r="A113" s="146"/>
      <c r="B113" s="119" t="s">
        <v>155</v>
      </c>
      <c r="C113" s="147">
        <v>37559000</v>
      </c>
      <c r="D113" s="147"/>
      <c r="E113" s="147"/>
      <c r="F113" s="147">
        <f t="shared" si="42"/>
        <v>0</v>
      </c>
      <c r="G113" s="142"/>
    </row>
    <row r="114" spans="1:7" ht="16.8" customHeight="1" x14ac:dyDescent="0.25">
      <c r="A114" s="146"/>
      <c r="B114" s="119" t="s">
        <v>156</v>
      </c>
      <c r="C114" s="147">
        <v>51574000</v>
      </c>
      <c r="D114" s="147"/>
      <c r="E114" s="147"/>
      <c r="F114" s="147">
        <f t="shared" si="42"/>
        <v>0</v>
      </c>
      <c r="G114" s="142"/>
    </row>
    <row r="115" spans="1:7" ht="16.8" customHeight="1" x14ac:dyDescent="0.25">
      <c r="A115" s="143">
        <v>2</v>
      </c>
      <c r="B115" s="59" t="s">
        <v>181</v>
      </c>
      <c r="C115" s="144">
        <f>SUM(C116:C120)</f>
        <v>1142950000</v>
      </c>
      <c r="D115" s="144">
        <f t="shared" ref="D115:F115" si="43">SUM(D116:D120)</f>
        <v>982768000</v>
      </c>
      <c r="E115" s="144">
        <f t="shared" si="43"/>
        <v>647608000</v>
      </c>
      <c r="F115" s="144">
        <f t="shared" si="43"/>
        <v>335160000</v>
      </c>
      <c r="G115" s="145" t="s">
        <v>50</v>
      </c>
    </row>
    <row r="116" spans="1:7" ht="16.8" customHeight="1" x14ac:dyDescent="0.25">
      <c r="A116" s="146"/>
      <c r="B116" s="119" t="s">
        <v>152</v>
      </c>
      <c r="C116" s="147">
        <v>923029000</v>
      </c>
      <c r="D116" s="147">
        <v>911512000</v>
      </c>
      <c r="E116" s="147">
        <v>600000000</v>
      </c>
      <c r="F116" s="147">
        <f>D116-E116</f>
        <v>311512000</v>
      </c>
      <c r="G116" s="142"/>
    </row>
    <row r="117" spans="1:7" ht="16.8" customHeight="1" x14ac:dyDescent="0.25">
      <c r="A117" s="146"/>
      <c r="B117" s="119" t="s">
        <v>153</v>
      </c>
      <c r="C117" s="147">
        <v>18956000</v>
      </c>
      <c r="D117" s="147"/>
      <c r="E117" s="147"/>
      <c r="F117" s="147">
        <f t="shared" ref="F117:F120" si="44">D117-E117</f>
        <v>0</v>
      </c>
      <c r="G117" s="142"/>
    </row>
    <row r="118" spans="1:7" ht="16.8" customHeight="1" x14ac:dyDescent="0.25">
      <c r="A118" s="146"/>
      <c r="B118" s="119" t="s">
        <v>154</v>
      </c>
      <c r="C118" s="147">
        <v>78644000</v>
      </c>
      <c r="D118" s="147">
        <f>47608000+23648000</f>
        <v>71256000</v>
      </c>
      <c r="E118" s="147">
        <v>47608000</v>
      </c>
      <c r="F118" s="147">
        <f t="shared" si="44"/>
        <v>23648000</v>
      </c>
      <c r="G118" s="142"/>
    </row>
    <row r="119" spans="1:7" ht="16.8" customHeight="1" x14ac:dyDescent="0.25">
      <c r="A119" s="146"/>
      <c r="B119" s="119" t="s">
        <v>155</v>
      </c>
      <c r="C119" s="147">
        <v>67895000</v>
      </c>
      <c r="D119" s="147"/>
      <c r="E119" s="147"/>
      <c r="F119" s="147">
        <f t="shared" si="44"/>
        <v>0</v>
      </c>
      <c r="G119" s="142"/>
    </row>
    <row r="120" spans="1:7" ht="16.8" customHeight="1" x14ac:dyDescent="0.25">
      <c r="A120" s="146"/>
      <c r="B120" s="119" t="s">
        <v>156</v>
      </c>
      <c r="C120" s="147">
        <v>54426000</v>
      </c>
      <c r="D120" s="147"/>
      <c r="E120" s="147"/>
      <c r="F120" s="147">
        <f t="shared" si="44"/>
        <v>0</v>
      </c>
      <c r="G120" s="142"/>
    </row>
    <row r="121" spans="1:7" ht="16.8" customHeight="1" x14ac:dyDescent="0.25">
      <c r="A121" s="143">
        <v>3</v>
      </c>
      <c r="B121" s="61" t="s">
        <v>182</v>
      </c>
      <c r="C121" s="144">
        <f>SUM(C122:C126)</f>
        <v>1029348000</v>
      </c>
      <c r="D121" s="144">
        <f t="shared" ref="D121:F121" si="45">SUM(D122:D126)</f>
        <v>891256000</v>
      </c>
      <c r="E121" s="144">
        <f t="shared" si="45"/>
        <v>666889000</v>
      </c>
      <c r="F121" s="144">
        <f t="shared" si="45"/>
        <v>224367000</v>
      </c>
      <c r="G121" s="145" t="s">
        <v>50</v>
      </c>
    </row>
    <row r="122" spans="1:7" ht="16.8" customHeight="1" x14ac:dyDescent="0.25">
      <c r="A122" s="146"/>
      <c r="B122" s="119" t="s">
        <v>152</v>
      </c>
      <c r="C122" s="147">
        <v>912185000</v>
      </c>
      <c r="D122" s="147">
        <v>850719000</v>
      </c>
      <c r="E122" s="147">
        <v>650000000</v>
      </c>
      <c r="F122" s="147">
        <f>D122-E122</f>
        <v>200719000</v>
      </c>
      <c r="G122" s="142"/>
    </row>
    <row r="123" spans="1:7" ht="16.8" customHeight="1" x14ac:dyDescent="0.25">
      <c r="A123" s="151"/>
      <c r="B123" s="119" t="s">
        <v>153</v>
      </c>
      <c r="C123" s="147">
        <v>20931000</v>
      </c>
      <c r="D123" s="147"/>
      <c r="E123" s="147"/>
      <c r="F123" s="147">
        <f t="shared" ref="F123:F126" si="46">D123-E123</f>
        <v>0</v>
      </c>
      <c r="G123" s="142"/>
    </row>
    <row r="124" spans="1:7" ht="16.8" customHeight="1" x14ac:dyDescent="0.25">
      <c r="A124" s="152"/>
      <c r="B124" s="153" t="s">
        <v>154</v>
      </c>
      <c r="C124" s="154">
        <v>43557000</v>
      </c>
      <c r="D124" s="154">
        <f>16889000+23648000</f>
        <v>40537000</v>
      </c>
      <c r="E124" s="154">
        <v>16889000</v>
      </c>
      <c r="F124" s="154">
        <f t="shared" si="46"/>
        <v>23648000</v>
      </c>
      <c r="G124" s="142"/>
    </row>
    <row r="125" spans="1:7" ht="16.8" customHeight="1" x14ac:dyDescent="0.25">
      <c r="A125" s="152"/>
      <c r="B125" s="153" t="s">
        <v>155</v>
      </c>
      <c r="C125" s="154">
        <v>42675000</v>
      </c>
      <c r="D125" s="154"/>
      <c r="E125" s="154"/>
      <c r="F125" s="154">
        <f t="shared" si="46"/>
        <v>0</v>
      </c>
      <c r="G125" s="142"/>
    </row>
    <row r="126" spans="1:7" ht="16.8" customHeight="1" x14ac:dyDescent="0.25">
      <c r="A126" s="152"/>
      <c r="B126" s="153" t="s">
        <v>156</v>
      </c>
      <c r="C126" s="154">
        <v>10000000</v>
      </c>
      <c r="D126" s="154"/>
      <c r="E126" s="154"/>
      <c r="F126" s="154">
        <f t="shared" si="46"/>
        <v>0</v>
      </c>
      <c r="G126" s="142"/>
    </row>
    <row r="127" spans="1:7" ht="16.8" customHeight="1" x14ac:dyDescent="0.25">
      <c r="A127" s="152"/>
      <c r="B127" s="142"/>
      <c r="C127" s="154"/>
      <c r="D127" s="154"/>
      <c r="E127" s="154"/>
      <c r="F127" s="154"/>
      <c r="G127" s="142"/>
    </row>
    <row r="128" spans="1:7" ht="16.8" customHeight="1" x14ac:dyDescent="0.25">
      <c r="A128" s="137"/>
      <c r="B128" s="137" t="s">
        <v>183</v>
      </c>
      <c r="C128" s="141">
        <f>C7+C54+C63+C72+C94+C101+C108</f>
        <v>24404292560</v>
      </c>
      <c r="D128" s="141">
        <f t="shared" ref="D128:F128" si="47">D7+D54+D63+D72+D94+D101+D108</f>
        <v>21709893000</v>
      </c>
      <c r="E128" s="141">
        <f t="shared" si="47"/>
        <v>17578988000</v>
      </c>
      <c r="F128" s="141">
        <f t="shared" si="47"/>
        <v>4130905000</v>
      </c>
      <c r="G128" s="142"/>
    </row>
    <row r="130" spans="5:6" x14ac:dyDescent="0.25">
      <c r="E130" s="194" t="s">
        <v>308</v>
      </c>
      <c r="F130" s="194"/>
    </row>
  </sheetData>
  <mergeCells count="6">
    <mergeCell ref="E3:F3"/>
    <mergeCell ref="E130:F130"/>
    <mergeCell ref="A4:G4"/>
    <mergeCell ref="D31:D32"/>
    <mergeCell ref="E31:E32"/>
    <mergeCell ref="F31:F32"/>
  </mergeCells>
  <pageMargins left="0.45" right="0.2" top="0.5" bottom="0.2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Nợ phải thu</vt:lpstr>
      <vt:lpstr>02 - NO TX </vt:lpstr>
      <vt:lpstr>Nợ XDCB thị trấn</vt:lpstr>
      <vt:lpstr>Nợ XDCB Thạch Long</vt:lpstr>
      <vt:lpstr>Nợ XDCB Thạch Sơn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VANUBTP</dc:creator>
  <cp:lastModifiedBy>soh240901300@outlook.com</cp:lastModifiedBy>
  <cp:lastPrinted>2026-01-11T01:23:14Z</cp:lastPrinted>
  <dcterms:created xsi:type="dcterms:W3CDTF">2025-06-19T02:53:24Z</dcterms:created>
  <dcterms:modified xsi:type="dcterms:W3CDTF">2026-01-11T03:32:54Z</dcterms:modified>
</cp:coreProperties>
</file>