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Ự TOÁN 2026 TRÌNH HĐND XÃ\Dự toán 2026\"/>
    </mc:Choice>
  </mc:AlternateContent>
  <xr:revisionPtr revIDLastSave="0" documentId="13_ncr:1_{018DB120-A856-46BE-8E88-6CFEA2FF8724}" xr6:coauthVersionLast="47" xr6:coauthVersionMax="47" xr10:uidLastSave="{00000000-0000-0000-0000-000000000000}"/>
  <bookViews>
    <workbookView xWindow="-108" yWindow="-108" windowWidth="23256" windowHeight="12456" activeTab="4" xr2:uid="{53A1D769-6DF9-4435-B79A-C4E919AF360B}"/>
  </bookViews>
  <sheets>
    <sheet name="THỰC HIỆN THU 11 THÁNG" sheetId="7" r:id="rId1"/>
    <sheet name="THỰC HIỆN CHI 11 THÁNG" sheetId="8" r:id="rId2"/>
    <sheet name="CÂN ĐỐI" sheetId="6" r:id="rId3"/>
    <sheet name="DỰ TOÁN THU" sheetId="1" r:id="rId4"/>
    <sheet name="DỰ TOÁN CHI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2" l="1"/>
  <c r="C38" i="2"/>
  <c r="C60" i="2" l="1"/>
  <c r="C71" i="2"/>
  <c r="C98" i="2"/>
  <c r="C110" i="2"/>
  <c r="C81" i="2" l="1"/>
  <c r="C126" i="2" l="1"/>
  <c r="H30" i="1" l="1"/>
  <c r="C10" i="2"/>
  <c r="C63" i="2"/>
  <c r="G33" i="1"/>
  <c r="E33" i="1"/>
  <c r="C20" i="6" l="1"/>
  <c r="C18" i="6"/>
  <c r="D113" i="8" l="1"/>
  <c r="G113" i="8" s="1"/>
  <c r="D112" i="8"/>
  <c r="G112" i="8" s="1"/>
  <c r="F111" i="8"/>
  <c r="D111" i="8"/>
  <c r="G111" i="8" s="1"/>
  <c r="D110" i="8"/>
  <c r="G110" i="8" s="1"/>
  <c r="D109" i="8"/>
  <c r="G109" i="8" s="1"/>
  <c r="G108" i="8"/>
  <c r="F108" i="8"/>
  <c r="F105" i="8" s="1"/>
  <c r="D108" i="8"/>
  <c r="D107" i="8"/>
  <c r="G107" i="8" s="1"/>
  <c r="D106" i="8"/>
  <c r="G106" i="8" s="1"/>
  <c r="E105" i="8"/>
  <c r="C105" i="8"/>
  <c r="G104" i="8"/>
  <c r="G103" i="8"/>
  <c r="F102" i="8"/>
  <c r="D102" i="8"/>
  <c r="G102" i="8" s="1"/>
  <c r="G101" i="8"/>
  <c r="G100" i="8"/>
  <c r="G99" i="8"/>
  <c r="F99" i="8"/>
  <c r="D99" i="8"/>
  <c r="F98" i="8"/>
  <c r="D98" i="8"/>
  <c r="G98" i="8" s="1"/>
  <c r="D97" i="8"/>
  <c r="G97" i="8" s="1"/>
  <c r="G96" i="8"/>
  <c r="G94" i="8"/>
  <c r="G93" i="8"/>
  <c r="F92" i="8"/>
  <c r="D92" i="8" s="1"/>
  <c r="G92" i="8" s="1"/>
  <c r="G91" i="8"/>
  <c r="D91" i="8"/>
  <c r="F90" i="8"/>
  <c r="D90" i="8" s="1"/>
  <c r="G90" i="8" s="1"/>
  <c r="F87" i="8"/>
  <c r="D86" i="8"/>
  <c r="G86" i="8" s="1"/>
  <c r="C86" i="8"/>
  <c r="C85" i="8" s="1"/>
  <c r="F85" i="8"/>
  <c r="E85" i="8"/>
  <c r="D84" i="8"/>
  <c r="G84" i="8" s="1"/>
  <c r="D83" i="8"/>
  <c r="G83" i="8" s="1"/>
  <c r="D82" i="8"/>
  <c r="G82" i="8" s="1"/>
  <c r="D81" i="8"/>
  <c r="G81" i="8" s="1"/>
  <c r="G80" i="8"/>
  <c r="D80" i="8"/>
  <c r="G79" i="8"/>
  <c r="D79" i="8"/>
  <c r="D78" i="8"/>
  <c r="G78" i="8" s="1"/>
  <c r="D77" i="8"/>
  <c r="G77" i="8" s="1"/>
  <c r="D76" i="8"/>
  <c r="G76" i="8" s="1"/>
  <c r="D75" i="8"/>
  <c r="G75" i="8" s="1"/>
  <c r="G74" i="8"/>
  <c r="D74" i="8"/>
  <c r="F73" i="8"/>
  <c r="E73" i="8"/>
  <c r="C73" i="8"/>
  <c r="G72" i="8"/>
  <c r="F72" i="8"/>
  <c r="D72" i="8"/>
  <c r="F71" i="8"/>
  <c r="D71" i="8"/>
  <c r="G71" i="8" s="1"/>
  <c r="F70" i="8"/>
  <c r="D70" i="8" s="1"/>
  <c r="G70" i="8" s="1"/>
  <c r="F69" i="8"/>
  <c r="D69" i="8" s="1"/>
  <c r="G69" i="8" s="1"/>
  <c r="F68" i="8"/>
  <c r="D68" i="8"/>
  <c r="G68" i="8" s="1"/>
  <c r="F67" i="8"/>
  <c r="F60" i="8" s="1"/>
  <c r="D67" i="8"/>
  <c r="G67" i="8" s="1"/>
  <c r="F66" i="8"/>
  <c r="D66" i="8" s="1"/>
  <c r="G66" i="8" s="1"/>
  <c r="F65" i="8"/>
  <c r="D65" i="8" s="1"/>
  <c r="G65" i="8" s="1"/>
  <c r="G64" i="8"/>
  <c r="D64" i="8"/>
  <c r="F63" i="8"/>
  <c r="D63" i="8"/>
  <c r="G62" i="8"/>
  <c r="D62" i="8"/>
  <c r="G61" i="8"/>
  <c r="D61" i="8"/>
  <c r="E60" i="8"/>
  <c r="C60" i="8"/>
  <c r="F59" i="8"/>
  <c r="D59" i="8"/>
  <c r="G59" i="8" s="1"/>
  <c r="C58" i="8"/>
  <c r="F58" i="8" s="1"/>
  <c r="D58" i="8" s="1"/>
  <c r="G58" i="8" s="1"/>
  <c r="F57" i="8"/>
  <c r="D57" i="8" s="1"/>
  <c r="G57" i="8" s="1"/>
  <c r="F56" i="8"/>
  <c r="D56" i="8"/>
  <c r="G56" i="8" s="1"/>
  <c r="F55" i="8"/>
  <c r="D55" i="8"/>
  <c r="G55" i="8" s="1"/>
  <c r="F54" i="8"/>
  <c r="D54" i="8" s="1"/>
  <c r="G54" i="8" s="1"/>
  <c r="F53" i="8"/>
  <c r="D53" i="8" s="1"/>
  <c r="G53" i="8" s="1"/>
  <c r="F52" i="8"/>
  <c r="D52" i="8"/>
  <c r="G52" i="8" s="1"/>
  <c r="F51" i="8"/>
  <c r="D51" i="8"/>
  <c r="G51" i="8" s="1"/>
  <c r="F50" i="8"/>
  <c r="D50" i="8" s="1"/>
  <c r="G50" i="8" s="1"/>
  <c r="F49" i="8"/>
  <c r="D49" i="8" s="1"/>
  <c r="G49" i="8" s="1"/>
  <c r="F48" i="8"/>
  <c r="D48" i="8"/>
  <c r="G48" i="8" s="1"/>
  <c r="F47" i="8"/>
  <c r="F43" i="8" s="1"/>
  <c r="F42" i="8" s="1"/>
  <c r="D47" i="8"/>
  <c r="G47" i="8" s="1"/>
  <c r="D46" i="8"/>
  <c r="G46" i="8" s="1"/>
  <c r="F45" i="8"/>
  <c r="D45" i="8"/>
  <c r="G45" i="8" s="1"/>
  <c r="F44" i="8"/>
  <c r="D44" i="8" s="1"/>
  <c r="E43" i="8"/>
  <c r="E42" i="8" s="1"/>
  <c r="G41" i="8"/>
  <c r="D41" i="8"/>
  <c r="F40" i="8"/>
  <c r="E40" i="8"/>
  <c r="D40" i="8"/>
  <c r="G40" i="8" s="1"/>
  <c r="C40" i="8"/>
  <c r="F39" i="8"/>
  <c r="D39" i="8"/>
  <c r="G39" i="8" s="1"/>
  <c r="G38" i="8"/>
  <c r="F38" i="8"/>
  <c r="D38" i="8"/>
  <c r="F37" i="8"/>
  <c r="E37" i="8"/>
  <c r="D37" i="8"/>
  <c r="G37" i="8" s="1"/>
  <c r="C37" i="8"/>
  <c r="D36" i="8"/>
  <c r="G36" i="8" s="1"/>
  <c r="F35" i="8"/>
  <c r="D35" i="8"/>
  <c r="G35" i="8" s="1"/>
  <c r="F34" i="8"/>
  <c r="D34" i="8" s="1"/>
  <c r="G34" i="8" s="1"/>
  <c r="D33" i="8"/>
  <c r="G33" i="8" s="1"/>
  <c r="F32" i="8"/>
  <c r="F29" i="8" s="1"/>
  <c r="G31" i="8"/>
  <c r="F31" i="8"/>
  <c r="D30" i="8"/>
  <c r="E29" i="8"/>
  <c r="C29" i="8"/>
  <c r="G28" i="8"/>
  <c r="F28" i="8"/>
  <c r="F24" i="8" s="1"/>
  <c r="D27" i="8"/>
  <c r="G27" i="8" s="1"/>
  <c r="F26" i="8"/>
  <c r="D26" i="8"/>
  <c r="G26" i="8" s="1"/>
  <c r="F25" i="8"/>
  <c r="D25" i="8" s="1"/>
  <c r="E24" i="8"/>
  <c r="C24" i="8"/>
  <c r="F23" i="8"/>
  <c r="F22" i="8" s="1"/>
  <c r="D23" i="8"/>
  <c r="D22" i="8" s="1"/>
  <c r="G22" i="8" s="1"/>
  <c r="E22" i="8"/>
  <c r="C22" i="8"/>
  <c r="F21" i="8"/>
  <c r="D21" i="8"/>
  <c r="G21" i="8" s="1"/>
  <c r="F20" i="8"/>
  <c r="D20" i="8" s="1"/>
  <c r="G20" i="8" s="1"/>
  <c r="F19" i="8"/>
  <c r="D19" i="8" s="1"/>
  <c r="E18" i="8"/>
  <c r="C18" i="8"/>
  <c r="C17" i="8"/>
  <c r="F17" i="8" s="1"/>
  <c r="D17" i="8" s="1"/>
  <c r="G17" i="8" s="1"/>
  <c r="F16" i="8"/>
  <c r="D16" i="8" s="1"/>
  <c r="C16" i="8"/>
  <c r="E15" i="8"/>
  <c r="E13" i="8" s="1"/>
  <c r="E12" i="8" s="1"/>
  <c r="E9" i="8" s="1"/>
  <c r="C15" i="8"/>
  <c r="C13" i="8" s="1"/>
  <c r="D14" i="8"/>
  <c r="D11" i="8"/>
  <c r="G11" i="8" s="1"/>
  <c r="C11" i="8"/>
  <c r="C10" i="8" s="1"/>
  <c r="F10" i="8"/>
  <c r="E10" i="8"/>
  <c r="D10" i="8"/>
  <c r="J38" i="7"/>
  <c r="I38" i="7"/>
  <c r="H38" i="7"/>
  <c r="H37" i="7"/>
  <c r="H36" i="7" s="1"/>
  <c r="F37" i="7"/>
  <c r="F36" i="7" s="1"/>
  <c r="E37" i="7"/>
  <c r="J37" i="7" s="1"/>
  <c r="D37" i="7"/>
  <c r="D36" i="7" s="1"/>
  <c r="C37" i="7"/>
  <c r="C36" i="7" s="1"/>
  <c r="G36" i="7"/>
  <c r="E36" i="7"/>
  <c r="J35" i="7"/>
  <c r="I35" i="7"/>
  <c r="H35" i="7"/>
  <c r="J34" i="7"/>
  <c r="I34" i="7"/>
  <c r="H34" i="7"/>
  <c r="G32" i="7"/>
  <c r="I32" i="7" s="1"/>
  <c r="J30" i="7"/>
  <c r="I30" i="7"/>
  <c r="J29" i="7"/>
  <c r="I29" i="7"/>
  <c r="J28" i="7"/>
  <c r="I28" i="7"/>
  <c r="H27" i="7"/>
  <c r="H26" i="7" s="1"/>
  <c r="G27" i="7"/>
  <c r="G26" i="7" s="1"/>
  <c r="F27" i="7"/>
  <c r="F26" i="7" s="1"/>
  <c r="E27" i="7"/>
  <c r="E26" i="7" s="1"/>
  <c r="D27" i="7"/>
  <c r="D26" i="7" s="1"/>
  <c r="C27" i="7"/>
  <c r="C26" i="7" s="1"/>
  <c r="J25" i="7"/>
  <c r="I25" i="7"/>
  <c r="J24" i="7"/>
  <c r="I24" i="7"/>
  <c r="J23" i="7"/>
  <c r="I23" i="7"/>
  <c r="H22" i="7"/>
  <c r="G22" i="7"/>
  <c r="F22" i="7"/>
  <c r="E22" i="7"/>
  <c r="D22" i="7"/>
  <c r="C22" i="7"/>
  <c r="J21" i="7"/>
  <c r="I21" i="7"/>
  <c r="J20" i="7"/>
  <c r="I20" i="7"/>
  <c r="F20" i="7"/>
  <c r="H19" i="7"/>
  <c r="G19" i="7"/>
  <c r="J19" i="7" s="1"/>
  <c r="J18" i="7"/>
  <c r="I18" i="7"/>
  <c r="H18" i="7"/>
  <c r="H16" i="7" s="1"/>
  <c r="J17" i="7"/>
  <c r="I17" i="7"/>
  <c r="G16" i="7"/>
  <c r="F16" i="7"/>
  <c r="F15" i="7" s="1"/>
  <c r="F11" i="7" s="1"/>
  <c r="E16" i="7"/>
  <c r="D16" i="7"/>
  <c r="D15" i="7" s="1"/>
  <c r="C16" i="7"/>
  <c r="C15" i="7" s="1"/>
  <c r="G15" i="7"/>
  <c r="E15" i="7"/>
  <c r="J14" i="7"/>
  <c r="I14" i="7"/>
  <c r="H14" i="7"/>
  <c r="J13" i="7"/>
  <c r="I13" i="7"/>
  <c r="H12" i="7"/>
  <c r="G12" i="7"/>
  <c r="F12" i="7"/>
  <c r="E12" i="7"/>
  <c r="D12" i="7"/>
  <c r="C12" i="7"/>
  <c r="C23" i="6"/>
  <c r="C19" i="6"/>
  <c r="C17" i="6" s="1"/>
  <c r="C16" i="6" s="1"/>
  <c r="C13" i="6"/>
  <c r="C11" i="6"/>
  <c r="C10" i="6"/>
  <c r="J36" i="7" l="1"/>
  <c r="I36" i="7"/>
  <c r="E11" i="7"/>
  <c r="E10" i="7" s="1"/>
  <c r="J16" i="7"/>
  <c r="H15" i="7"/>
  <c r="G25" i="8"/>
  <c r="D24" i="8"/>
  <c r="G24" i="8" s="1"/>
  <c r="G10" i="8"/>
  <c r="D18" i="8"/>
  <c r="G18" i="8" s="1"/>
  <c r="G19" i="8"/>
  <c r="D60" i="8"/>
  <c r="G60" i="8" s="1"/>
  <c r="D29" i="8"/>
  <c r="G29" i="8" s="1"/>
  <c r="G44" i="8"/>
  <c r="D43" i="8"/>
  <c r="G16" i="8"/>
  <c r="D15" i="8"/>
  <c r="G15" i="8" s="1"/>
  <c r="G30" i="8"/>
  <c r="D105" i="8"/>
  <c r="G105" i="8" s="1"/>
  <c r="D73" i="8"/>
  <c r="G73" i="8" s="1"/>
  <c r="G23" i="8"/>
  <c r="D85" i="8"/>
  <c r="G85" i="8" s="1"/>
  <c r="G14" i="8"/>
  <c r="D32" i="8"/>
  <c r="G32" i="8" s="1"/>
  <c r="C43" i="8"/>
  <c r="C42" i="8" s="1"/>
  <c r="C12" i="8" s="1"/>
  <c r="C9" i="8" s="1"/>
  <c r="F15" i="8"/>
  <c r="F13" i="8" s="1"/>
  <c r="G63" i="8"/>
  <c r="F18" i="8"/>
  <c r="F10" i="7"/>
  <c r="J32" i="7"/>
  <c r="J22" i="7"/>
  <c r="D11" i="7"/>
  <c r="D10" i="7" s="1"/>
  <c r="G11" i="7"/>
  <c r="J15" i="7"/>
  <c r="I37" i="7"/>
  <c r="I16" i="7"/>
  <c r="G10" i="7"/>
  <c r="J11" i="7"/>
  <c r="C11" i="7"/>
  <c r="C10" i="7" s="1"/>
  <c r="I26" i="7"/>
  <c r="J26" i="7"/>
  <c r="H11" i="7"/>
  <c r="H10" i="7" s="1"/>
  <c r="I12" i="7"/>
  <c r="J12" i="7"/>
  <c r="I27" i="7"/>
  <c r="I19" i="7"/>
  <c r="J27" i="7"/>
  <c r="I22" i="7"/>
  <c r="I15" i="7"/>
  <c r="C9" i="6"/>
  <c r="D13" i="8" l="1"/>
  <c r="G13" i="8" s="1"/>
  <c r="F12" i="8"/>
  <c r="F9" i="8" s="1"/>
  <c r="G43" i="8"/>
  <c r="D42" i="8"/>
  <c r="G42" i="8" s="1"/>
  <c r="I11" i="7"/>
  <c r="J10" i="7"/>
  <c r="I10" i="7"/>
  <c r="D12" i="8" l="1"/>
  <c r="D9" i="8"/>
  <c r="G9" i="8" s="1"/>
  <c r="G12" i="8"/>
  <c r="C24" i="6" l="1"/>
  <c r="C125" i="2"/>
  <c r="C25" i="6" s="1"/>
  <c r="C122" i="2"/>
  <c r="C121" i="2"/>
  <c r="C118" i="2"/>
  <c r="C116" i="2"/>
  <c r="C108" i="2"/>
  <c r="C96" i="2"/>
  <c r="C94" i="2"/>
  <c r="C70" i="2"/>
  <c r="C69" i="2"/>
  <c r="C66" i="2"/>
  <c r="C58" i="2"/>
  <c r="C45" i="2"/>
  <c r="C43" i="2" s="1"/>
  <c r="C41" i="2"/>
  <c r="C40" i="2"/>
  <c r="C39" i="2"/>
  <c r="C31" i="2"/>
  <c r="C29" i="2"/>
  <c r="C27" i="2" s="1"/>
  <c r="C25" i="2"/>
  <c r="C17" i="2" s="1"/>
  <c r="C24" i="2"/>
  <c r="C18" i="2"/>
  <c r="C16" i="2"/>
  <c r="H33" i="1"/>
  <c r="C14" i="6" s="1"/>
  <c r="C12" i="6" s="1"/>
  <c r="C8" i="6" s="1"/>
  <c r="F33" i="1"/>
  <c r="H32" i="1"/>
  <c r="F32" i="1"/>
  <c r="F31" i="1" s="1"/>
  <c r="H31" i="1"/>
  <c r="G31" i="1"/>
  <c r="E31" i="1"/>
  <c r="F30" i="1"/>
  <c r="H29" i="1"/>
  <c r="F29" i="1"/>
  <c r="G28" i="1"/>
  <c r="H28" i="1" s="1"/>
  <c r="E28" i="1"/>
  <c r="E27" i="1" s="1"/>
  <c r="E26" i="1" s="1"/>
  <c r="G27" i="1"/>
  <c r="G26" i="1" s="1"/>
  <c r="H25" i="1"/>
  <c r="F25" i="1"/>
  <c r="G23" i="1"/>
  <c r="H23" i="1" s="1"/>
  <c r="H22" i="1" s="1"/>
  <c r="F23" i="1"/>
  <c r="F22" i="1" s="1"/>
  <c r="E22" i="1"/>
  <c r="H21" i="1"/>
  <c r="G21" i="1"/>
  <c r="E21" i="1"/>
  <c r="H20" i="1"/>
  <c r="F20" i="1"/>
  <c r="G18" i="1"/>
  <c r="H18" i="1" s="1"/>
  <c r="H16" i="1" s="1"/>
  <c r="H15" i="1" s="1"/>
  <c r="G17" i="1"/>
  <c r="G16" i="1"/>
  <c r="G15" i="1" s="1"/>
  <c r="F16" i="1"/>
  <c r="F15" i="1" s="1"/>
  <c r="E16" i="1"/>
  <c r="E15" i="1" s="1"/>
  <c r="H14" i="1"/>
  <c r="H12" i="1" s="1"/>
  <c r="F14" i="1"/>
  <c r="H13" i="1"/>
  <c r="F13" i="1"/>
  <c r="G12" i="1"/>
  <c r="E12" i="1"/>
  <c r="C68" i="2" l="1"/>
  <c r="G22" i="1"/>
  <c r="H27" i="1"/>
  <c r="H26" i="1" s="1"/>
  <c r="H11" i="1" s="1"/>
  <c r="H10" i="1" s="1"/>
  <c r="C59" i="2"/>
  <c r="C15" i="2"/>
  <c r="F12" i="1"/>
  <c r="E11" i="1"/>
  <c r="E10" i="1" s="1"/>
  <c r="G11" i="1"/>
  <c r="G10" i="1" s="1"/>
  <c r="F28" i="1"/>
  <c r="F27" i="1" s="1"/>
  <c r="F26" i="1" s="1"/>
  <c r="C14" i="2" l="1"/>
  <c r="C22" i="6" s="1"/>
  <c r="F11" i="1"/>
  <c r="F10" i="1" s="1"/>
  <c r="C9" i="2" l="1"/>
  <c r="C1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E27" authorId="0" shapeId="0" xr:uid="{6CAB316C-E436-4E74-B1A6-B24135E61081}">
      <text>
        <r>
          <rPr>
            <b/>
            <sz val="9"/>
            <color indexed="81"/>
            <rFont val="Tahoma"/>
            <family val="2"/>
          </rPr>
          <t xml:space="preserve">Thị trấn: 37,5
</t>
        </r>
      </text>
    </comment>
    <comment ref="E28" authorId="0" shapeId="0" xr:uid="{96BC89C8-5CAD-4E75-AF8A-2AEB0E29CA93}">
      <text>
        <r>
          <rPr>
            <b/>
            <sz val="9"/>
            <color indexed="81"/>
            <rFont val="Tahoma"/>
            <family val="2"/>
          </rPr>
          <t xml:space="preserve">Thạch Long: 3,6 triệu
</t>
        </r>
      </text>
    </comment>
    <comment ref="E69" authorId="0" shapeId="0" xr:uid="{A44D78BA-EC3C-470A-B651-B316AFB21921}">
      <text>
        <r>
          <rPr>
            <b/>
            <sz val="9"/>
            <color indexed="81"/>
            <rFont val="Tahoma"/>
            <family val="2"/>
          </rPr>
          <t xml:space="preserve">Thạch Long: đã chi 30,096
</t>
        </r>
      </text>
    </comment>
    <comment ref="E70" authorId="0" shapeId="0" xr:uid="{40951277-61E1-4DC4-A342-4F2705B74CCA}">
      <text>
        <r>
          <rPr>
            <b/>
            <sz val="9"/>
            <color indexed="81"/>
            <rFont val="Tahoma"/>
            <family val="2"/>
          </rPr>
          <t xml:space="preserve">Thạch Long: 25,8
</t>
        </r>
      </text>
    </comment>
  </commentList>
</comments>
</file>

<file path=xl/sharedStrings.xml><?xml version="1.0" encoding="utf-8"?>
<sst xmlns="http://schemas.openxmlformats.org/spreadsheetml/2006/main" count="569" uniqueCount="294">
  <si>
    <t>ỦY BAN NHÂN DÂN</t>
  </si>
  <si>
    <t>XÃ THẠCH HÀ</t>
  </si>
  <si>
    <t>TT</t>
  </si>
  <si>
    <t>Nội dung</t>
  </si>
  <si>
    <t>Tỷ lệ phân chia</t>
  </si>
  <si>
    <t xml:space="preserve">Dự toán tỉnh giao
</t>
  </si>
  <si>
    <t>NST</t>
  </si>
  <si>
    <t>NSX</t>
  </si>
  <si>
    <t>NSNN</t>
  </si>
  <si>
    <t xml:space="preserve">NS xã </t>
  </si>
  <si>
    <t>Tổng cộng</t>
  </si>
  <si>
    <t>I</t>
  </si>
  <si>
    <t>Thu NSNN trên địa bàn</t>
  </si>
  <si>
    <t>Thu tại xã. Trong đó:</t>
  </si>
  <si>
    <t>Thu tại xã</t>
  </si>
  <si>
    <t xml:space="preserve">Thu hoa lợi </t>
  </si>
  <si>
    <t xml:space="preserve">Phí, lệ phí. </t>
  </si>
  <si>
    <t>2.1</t>
  </si>
  <si>
    <t>Lệ phí Môn bài</t>
  </si>
  <si>
    <t>Doanh nghiệp, hợp tác xã</t>
  </si>
  <si>
    <t>Cá nhân, hộ kinh doanh</t>
  </si>
  <si>
    <t>2.2</t>
  </si>
  <si>
    <t>Phí, lệ phí (còn lại)</t>
  </si>
  <si>
    <t>Thu tiền cho thuê mặt đất, mặt nước</t>
  </si>
  <si>
    <t>Thu tiền sử dụng đất</t>
  </si>
  <si>
    <t>Lệ phí trước bạ</t>
  </si>
  <si>
    <t>Trước bạ nhà, đất</t>
  </si>
  <si>
    <t>Trước bạ các tài sản khác</t>
  </si>
  <si>
    <t>Thuế sử dụng đất phi nông nghiệp</t>
  </si>
  <si>
    <t>Thu từ khu vực Ngoài Quốc doanh</t>
  </si>
  <si>
    <t>7.1</t>
  </si>
  <si>
    <t>Thuế VAT - TNDN</t>
  </si>
  <si>
    <t>Hộ cá thể</t>
  </si>
  <si>
    <t>Thuế Thu nhập cá nhân</t>
  </si>
  <si>
    <t xml:space="preserve">IV </t>
  </si>
  <si>
    <t>Thu bổ sung từ NS cấp trên</t>
  </si>
  <si>
    <t>Thu bổ sung cân đối</t>
  </si>
  <si>
    <t xml:space="preserve">Thu bổ sung có mục tiêu cấp xã </t>
  </si>
  <si>
    <t xml:space="preserve">  ỦY BAN NHÂN DÂN</t>
  </si>
  <si>
    <t xml:space="preserve">XÃ THẠCH HÀ </t>
  </si>
  <si>
    <t xml:space="preserve">(Kèm theo báo cáo số         /BC-UBND ngày         /         /        của UBND xã) </t>
  </si>
  <si>
    <t>Đơn vị tính: Triệu đồng</t>
  </si>
  <si>
    <t>Ghi chú</t>
  </si>
  <si>
    <t>Chi đầu tư phát triển</t>
  </si>
  <si>
    <t>Chi đầu tư xây dựng cơ bản</t>
  </si>
  <si>
    <t>Tiết kiệm chi đầu tư xây dựng cơ bản 5%</t>
  </si>
  <si>
    <t>II</t>
  </si>
  <si>
    <t>Chi thường xuyên</t>
  </si>
  <si>
    <t>Chi an ninh - Quốc phòng</t>
  </si>
  <si>
    <t>-</t>
  </si>
  <si>
    <t>An ninh</t>
  </si>
  <si>
    <t>Quốc phòng</t>
  </si>
  <si>
    <t>PC chức vụ cán bộ DQTV</t>
  </si>
  <si>
    <t>PC thâm niên cán bộ BCHQS</t>
  </si>
  <si>
    <t>PC đặc thù trung đội trưởng DQCĐ</t>
  </si>
  <si>
    <t>PC đặc thù tiểu đội trưởng DQCĐ</t>
  </si>
  <si>
    <t>Hổ trợ ngày công huấn luyện</t>
  </si>
  <si>
    <t>Hổ trợ tiền ăn huấn luyện</t>
  </si>
  <si>
    <t>Hổ trợ vật chất huấn luyện</t>
  </si>
  <si>
    <t>Hổ trợ tổng kết thi đua khen thưởng</t>
  </si>
  <si>
    <t>Diễn tập phòng thủ</t>
  </si>
  <si>
    <t xml:space="preserve">Sự nghiệp GD-ĐT và trung tâm chính trị xã </t>
  </si>
  <si>
    <t>Sự nghiệp giáo dục, đào tạo</t>
  </si>
  <si>
    <t>Trung tâm chính trị xã</t>
  </si>
  <si>
    <t>Lương, phụ cấp, các khoản đóng góp theo lương</t>
  </si>
  <si>
    <t>Chi hoạt động theo định mức</t>
  </si>
  <si>
    <t>Khen thưởng theo NĐ 73</t>
  </si>
  <si>
    <t>Tiết kiệm chi 10%</t>
  </si>
  <si>
    <t>Thực hiện nhiệm vụ đào tạo</t>
  </si>
  <si>
    <t xml:space="preserve">Chi sự nghiệp y tế </t>
  </si>
  <si>
    <t>Bảo hiểm y tế đối tượng người có công</t>
  </si>
  <si>
    <t xml:space="preserve">Bảo hiểm y tế đối tượng BTXH, HTXH, CCB, người nghèo </t>
  </si>
  <si>
    <t>Sự nghiệp Văn hóa thông tin, phát thanh truyền hình, thể dục thể thao</t>
  </si>
  <si>
    <t>Phân bổ theo định mức</t>
  </si>
  <si>
    <t>KP phát thanh cấp xã</t>
  </si>
  <si>
    <t>Kinh phí bảo vệ di tích</t>
  </si>
  <si>
    <t>Chi đảm bảo xã hội</t>
  </si>
  <si>
    <t>Chế độ trợ cấp hằng tháng cán bộ xã nghỉ việc</t>
  </si>
  <si>
    <t>Kinh phí chúc thọ mừng thọ đối tượng 70,75,80,85 tuổi</t>
  </si>
  <si>
    <t>Kinh phí chúc thọ mừng thọ đối tượng  95 và trên 100 tuổi</t>
  </si>
  <si>
    <t>KP chúc thọ và in khung đối với đối tượng tròn 90 và 100 tuổi</t>
  </si>
  <si>
    <t>Kinh phí tặng quà tết nguyên đán người có công với cách mạng, thân nhân người có công, CCB</t>
  </si>
  <si>
    <t>Kinh phí tặng quà ngày TBLS 27/7 người có công với cách mạng, thân nhân người có công, CCB</t>
  </si>
  <si>
    <t>Tặng quà người có công tiêu biểu 1 người/1 xã, nhân dịp tết nguyên đán và ngày TBLS 27/7</t>
  </si>
  <si>
    <t>Thắp hương tết nguyên đán và ngày TBLS 27/7 BMVNAH</t>
  </si>
  <si>
    <t>Bảo trợ XH theo NĐ 20/2021/NĐ-CP và hưu trí XH theo NĐ 176/2025/NĐ-CP</t>
  </si>
  <si>
    <t>Mai táng phí cho đối tượng CCB (Theo các QĐ của TTCP)</t>
  </si>
  <si>
    <t>Kinh phí thực hiện chính sách ưu đãi NCC với cách mạng, người trực tiếp tham gia kháng chiến</t>
  </si>
  <si>
    <t>Quà tặng tết cổ truyền theo văn bản số 4358/SYT-BTXH-PCTNXH ngày 14/11/2025</t>
  </si>
  <si>
    <t>Phụ cấp thường xuyên đối với thanh niên xung phong</t>
  </si>
  <si>
    <t xml:space="preserve">Tiền điện hộ nghèo </t>
  </si>
  <si>
    <t>Chi khác đảm bảo xã hội</t>
  </si>
  <si>
    <t>Sự nghiệp kinh tế</t>
  </si>
  <si>
    <t xml:space="preserve">Chi sự nghiệp kinh tế </t>
  </si>
  <si>
    <t>Kinh phí thủy lợi phí</t>
  </si>
  <si>
    <t>Kinh phí bảo vệ và phát triển đất trồng lúa</t>
  </si>
  <si>
    <t>Tăng cường cơ sở vật chất</t>
  </si>
  <si>
    <t>Kinh phí bảo trì đường bộ</t>
  </si>
  <si>
    <t>Kiến thiết thị chính, dịch vụ công ích</t>
  </si>
  <si>
    <t>Sự nghiệp môi trường</t>
  </si>
  <si>
    <t xml:space="preserve">Chi sự nghiệp môi trường </t>
  </si>
  <si>
    <t>Quản lý nhà nước, Đảng, Đoàn thể</t>
  </si>
  <si>
    <t>8.1</t>
  </si>
  <si>
    <t>Quản lý nhà nước</t>
  </si>
  <si>
    <t>Lương và các khoản phụ cấp</t>
  </si>
  <si>
    <t xml:space="preserve"> - </t>
  </si>
  <si>
    <t>Phụ cấp thôn trưởng</t>
  </si>
  <si>
    <t>Phụ cấp tổ an ninh trật tự</t>
  </si>
  <si>
    <t>Phụ cấp y tá thôn</t>
  </si>
  <si>
    <t xml:space="preserve">Trung tâm giáo dục cộng đồng </t>
  </si>
  <si>
    <t>Phụ cấp thôn đội trưởng</t>
  </si>
  <si>
    <t>Phụ cấp ĐBHĐ</t>
  </si>
  <si>
    <t>KP bầu cử Quốc hội, HĐND các cấp</t>
  </si>
  <si>
    <t xml:space="preserve">Phụ cấp bán chuyên trách </t>
  </si>
  <si>
    <t>Chi hoạt động của HĐND</t>
  </si>
  <si>
    <t>Phụ cấp Bí thư chi bộ kiêm trưởng ban công tác mặt trận</t>
  </si>
  <si>
    <t>Phụ cấp trưởng ban công tác mặt trận</t>
  </si>
  <si>
    <t xml:space="preserve">Phụ cấp cấp ủy </t>
  </si>
  <si>
    <t>Phụ cấp chi hội trưởng phụ nữ, kiêm y tế thôn</t>
  </si>
  <si>
    <t>Phụ cấp chi hội trưởng nông dân</t>
  </si>
  <si>
    <t>Phụ cấp Bí thư chi đoàn</t>
  </si>
  <si>
    <t>Phụ cấp chi hội trưởng CCB</t>
  </si>
  <si>
    <t>Phụ cấp chi hội trưởng cao tuổi</t>
  </si>
  <si>
    <t xml:space="preserve">Kinh phí thực hiện các nhiệm vụ khoa học, công nghệ, đổi mới sáng tạo và chuyển đổi số </t>
  </si>
  <si>
    <t>Chế độ đặc thù đối với cán bộ chuyên trách công nghệ thông tin theo Nghị định số 179/2025/NĐ-CP</t>
  </si>
  <si>
    <t>Chi tuyên truyền phổ biến GDPL</t>
  </si>
  <si>
    <t>Chi công tác tiếp dân, khiếu nại đơn thư tố cáo</t>
  </si>
  <si>
    <t>KP phần mềm Misa</t>
  </si>
  <si>
    <t>8.2</t>
  </si>
  <si>
    <t xml:space="preserve">Đảng </t>
  </si>
  <si>
    <t>Kinh phí khen thưởng theo NĐ 73</t>
  </si>
  <si>
    <t>Hoạt động công tác Đảng theo QĐ số 99/QĐ-TW  ngày 30/5/2012 của BCHTW Đảng</t>
  </si>
  <si>
    <t>Phụ cấp cán bộ UBKT theo Kết luận số 18/KL-TU</t>
  </si>
  <si>
    <t>Phụ cấp Ban chấp hành Đảng ủy</t>
  </si>
  <si>
    <t>Hổ trợ cán bộ làm công tác cơ yếu theo QĐ số 1725-QĐ/TU ngày 26/9/2025</t>
  </si>
  <si>
    <t>Hổ trợ hoạt động ban công tác 35</t>
  </si>
  <si>
    <t>KP hoạt động cấp ủy theo quy định số 44/QĐ-TU ngày 27/8/2025 của Tỉnh ủy</t>
  </si>
  <si>
    <t>KP tặng thưởng kèm theo Huy hiệu Đảng
(bao gồm tiền khung, thiếp 25.000 đồng/HHĐ)</t>
  </si>
  <si>
    <t>Tiết kiệm chi</t>
  </si>
  <si>
    <t>8.3</t>
  </si>
  <si>
    <t>MTTQ  Đoàn thể</t>
  </si>
  <si>
    <t>Chi hoạt động ban Thanh tra nhân dân</t>
  </si>
  <si>
    <t>Kinh phí Đại hội Hội LHTN</t>
  </si>
  <si>
    <t>KP thực hiện cuộc vận động "Toàn dân đoàn kết xây dựng NTM, đô thị văn minh" theo Thông tư số 121/2017/TT-BTC</t>
  </si>
  <si>
    <t>8.4</t>
  </si>
  <si>
    <t>Trung tâm dịch vụ tổng hợp</t>
  </si>
  <si>
    <t>Chi khác ngân sách</t>
  </si>
  <si>
    <t>Chi khác ngân sách xã, thị trấn</t>
  </si>
  <si>
    <t>Bổ sung KP 0,5%</t>
  </si>
  <si>
    <t>Định mức xã sau sáp nhập</t>
  </si>
  <si>
    <t xml:space="preserve">III </t>
  </si>
  <si>
    <t>Chi tiết kiệm 10% theo Nghị quyết số 173/2025/NQ-CP</t>
  </si>
  <si>
    <t>VII</t>
  </si>
  <si>
    <t xml:space="preserve">Chi cải cách tiền lương theo quy định </t>
  </si>
  <si>
    <t>VIII</t>
  </si>
  <si>
    <t>Dự phòng</t>
  </si>
  <si>
    <t xml:space="preserve"> </t>
  </si>
  <si>
    <t>III</t>
  </si>
  <si>
    <t>V</t>
  </si>
  <si>
    <t>VI</t>
  </si>
  <si>
    <t xml:space="preserve">(Kèm theo báo cáo số       /BC-UBND ngày        /      /     của UBND xã) </t>
  </si>
  <si>
    <t xml:space="preserve">Dự toán năm 2026
</t>
  </si>
  <si>
    <t xml:space="preserve">ỦY BAN NHÂN DÂN </t>
  </si>
  <si>
    <t>Đơn vị: Triệu đồng</t>
  </si>
  <si>
    <t>STT</t>
  </si>
  <si>
    <t>NỘI DUNG</t>
  </si>
  <si>
    <t>A</t>
  </si>
  <si>
    <t xml:space="preserve">TỔNG THU NGÂN SÁCH XÃ </t>
  </si>
  <si>
    <t>Thu ngân sách xã được hưởng theo phân cấp</t>
  </si>
  <si>
    <t>Các khoản thu xã hưởng 100%</t>
  </si>
  <si>
    <t xml:space="preserve">Thu ngân sách xã hưởng từ các khoản thu phân chia </t>
  </si>
  <si>
    <t>Thu bổ sung từ ngân sách cấp trên</t>
  </si>
  <si>
    <t>Thu bổ sung có mục tiêu</t>
  </si>
  <si>
    <t>B</t>
  </si>
  <si>
    <t>TỔNG CHI NGÂN SÁCH XÃ</t>
  </si>
  <si>
    <t>Dự phòng ngân sách</t>
  </si>
  <si>
    <t>Chi tạo nguồn, điều chỉnh tiền lương</t>
  </si>
  <si>
    <t>Tiết kiệm 10% theo Nghị quyết số 173/2025/NQ-CP</t>
  </si>
  <si>
    <t xml:space="preserve">                                                                          ỦY BAN NHÂN DÂN XÃ</t>
  </si>
  <si>
    <t>Tiết kiệm chi 5%</t>
  </si>
  <si>
    <t xml:space="preserve">XDCB </t>
  </si>
  <si>
    <t>ỦY BAN NHÂN DÂN XÃ</t>
  </si>
  <si>
    <t xml:space="preserve">Dự toán tỉnh giao </t>
  </si>
  <si>
    <t xml:space="preserve">Dự toán HĐND xã giao </t>
  </si>
  <si>
    <t>Thực hiện tính đến 30/11/2025</t>
  </si>
  <si>
    <t xml:space="preserve">Đạt tỷ lệ so với dự toán tỉnh giao </t>
  </si>
  <si>
    <t xml:space="preserve">Đạt tỷ lệ so với dự toán HĐND xã giao </t>
  </si>
  <si>
    <t xml:space="preserve">Xã hưởng </t>
  </si>
  <si>
    <t>(1)</t>
  </si>
  <si>
    <t>(2)</t>
  </si>
  <si>
    <t>(3)</t>
  </si>
  <si>
    <t>(4)</t>
  </si>
  <si>
    <t>(5)</t>
  </si>
  <si>
    <t>(6)</t>
  </si>
  <si>
    <t>(7)</t>
  </si>
  <si>
    <t>(8)</t>
  </si>
  <si>
    <t>(9)=(7)/(3)*100</t>
  </si>
  <si>
    <t>(10)=(7)/(5)*100</t>
  </si>
  <si>
    <t>Thu phí, lệ phí. Trong đó:</t>
  </si>
  <si>
    <t>Lệ phí môn bài</t>
  </si>
  <si>
    <t xml:space="preserve">Phí, lệ phí (còn lại) </t>
  </si>
  <si>
    <t>Tiền sử dụng đất</t>
  </si>
  <si>
    <t>Tiền thuê mặt đất, mặt nước</t>
  </si>
  <si>
    <t>Thuế phi nông nghiệp</t>
  </si>
  <si>
    <t>Thu từ khu vực ngoài quốc doanh</t>
  </si>
  <si>
    <t>7.2</t>
  </si>
  <si>
    <t xml:space="preserve">Thuế tiêu thụ đặc biệt </t>
  </si>
  <si>
    <t>7.3</t>
  </si>
  <si>
    <t xml:space="preserve">Thuế Tài nguyên </t>
  </si>
  <si>
    <t xml:space="preserve">Thuế thu nhập cá nhân </t>
  </si>
  <si>
    <t xml:space="preserve">Thu đóng góp CSHT  </t>
  </si>
  <si>
    <t>Thu chuyển nguồn năm trước</t>
  </si>
  <si>
    <t xml:space="preserve">Thu kết dư ngân sách </t>
  </si>
  <si>
    <t xml:space="preserve">Thu bổ sung cân đối </t>
  </si>
  <si>
    <t xml:space="preserve">Thu bổ sung có mục tiêu </t>
  </si>
  <si>
    <t xml:space="preserve">ỦY BAN NHÂN DÂN XÃ </t>
  </si>
  <si>
    <t>Dự toán HĐND xã giao</t>
  </si>
  <si>
    <t>Thực hiện</t>
  </si>
  <si>
    <t xml:space="preserve">Trong đó
</t>
  </si>
  <si>
    <t xml:space="preserve">Tỷ lệ (%) </t>
  </si>
  <si>
    <t>6 tháng đầu năm</t>
  </si>
  <si>
    <t>5 tháng cuối năm</t>
  </si>
  <si>
    <t>Kinh phí thực hiện nhiệm vụ quốc phòng theo định mức</t>
  </si>
  <si>
    <t>Bổ sung kinh phí thực hiện Luật dân quân tự vệ, Nghị định số 72/2020/NĐ-CP ngày 30/6/2020 của Chính phủ</t>
  </si>
  <si>
    <t xml:space="preserve">Bảo hiểm y tế 6 tháng cuối năm 2025 đối tượng BTXH </t>
  </si>
  <si>
    <t xml:space="preserve">Đại hội TDTT </t>
  </si>
  <si>
    <t>Kinh phí cụm dân cư</t>
  </si>
  <si>
    <t>Chế độ trợ cấp hằng tháng cán bộ xã, thị trấn đã nghỉ việc</t>
  </si>
  <si>
    <t xml:space="preserve">Hỗ trợ người được phân công giúp đỡ </t>
  </si>
  <si>
    <t>Kinh phí chúc thọ mừng thọ</t>
  </si>
  <si>
    <t>Mai táng phí</t>
  </si>
  <si>
    <t xml:space="preserve">Trợ giúp xã hội các tối tượng 6 tháng cuối năm </t>
  </si>
  <si>
    <t xml:space="preserve">Tiền điện hộ nghèo 6 tháng cuối năm </t>
  </si>
  <si>
    <t>Kiến thiết thị chính</t>
  </si>
  <si>
    <t>Phụ cấp tổ trưởng tổ dân phố</t>
  </si>
  <si>
    <t>Phụ cấp tổ chuyển đổi số cộng đồng</t>
  </si>
  <si>
    <t xml:space="preserve">Phụ cấp bán chuyên trách và hội đặc thù </t>
  </si>
  <si>
    <t>Chi hoạt động của ĐBHĐ</t>
  </si>
  <si>
    <t xml:space="preserve">Chi Khoa học - Công nghệ </t>
  </si>
  <si>
    <t>Chi hội nghị điển hình tiên tiến</t>
  </si>
  <si>
    <t xml:space="preserve">Chi khác </t>
  </si>
  <si>
    <t>Chi đại hội Đảng bộ nhiệm kỳ 2025-2030</t>
  </si>
  <si>
    <t>Phụ cấp Bí thư chi bộ</t>
  </si>
  <si>
    <t>Phụ cấp tôn giáo</t>
  </si>
  <si>
    <t>Chi hoạt động tôn giáo</t>
  </si>
  <si>
    <t>Phụ cấp chi hội trưởng phụ nữ</t>
  </si>
  <si>
    <t>Chi hoạt động ban Thanh tra nhân dân, Giám sát cộng đồng</t>
  </si>
  <si>
    <t>Chi Đại hội MTTQ</t>
  </si>
  <si>
    <t xml:space="preserve">Chi Đại hội các tổ chức đoàn thể </t>
  </si>
  <si>
    <t>Bổ sung kinh phí cho VP Đảng ủy</t>
  </si>
  <si>
    <t>Bổ sung KP cho UBMTTQ</t>
  </si>
  <si>
    <t>Bổ sung KP cho các trường</t>
  </si>
  <si>
    <t xml:space="preserve">Kinh phí thực hiện 6 tháng đầu năm của các đơn vị dự toán cấp huyện đã kết thúc hoạt động </t>
  </si>
  <si>
    <t xml:space="preserve">Chi bổ sung có mục tiêu ngân sách cấp trên </t>
  </si>
  <si>
    <t>Kinh phí môi trường 6 tháng cuối năm 2025</t>
  </si>
  <si>
    <t>Kinh phí kiến thiết thị chính</t>
  </si>
  <si>
    <t>Kinh phí cho các địa phương tổ chức vận hành xã mới</t>
  </si>
  <si>
    <t>Hỗ trợ sử dụng sản phẩm, dịch vụ công ích thủy lợi năm 2025 cho các xã, thị trấn</t>
  </si>
  <si>
    <t>Chuyển nguồn năm 2024 sang năm 2025</t>
  </si>
  <si>
    <t>Kết dư ngân sách 2024</t>
  </si>
  <si>
    <t>Nghị quyết 07</t>
  </si>
  <si>
    <t>Nghị quyết 178 và 67</t>
  </si>
  <si>
    <t>Hổ trợ các hộ dân và thôn khắc phục bão</t>
  </si>
  <si>
    <t>Hổ trợ 31 thôn khắc phục bão</t>
  </si>
  <si>
    <t>IX</t>
  </si>
  <si>
    <t>Chi nguồn bổ sung có mục tiêu</t>
  </si>
  <si>
    <t>Đại hội Mặt trận Tổ quốc và các tổ chức chính trị xã hội cấp xã</t>
  </si>
  <si>
    <t>KP hỗ trợ cho chủ chăn nuôi có gia súc phải tiêu huỷ do dịch bệnh</t>
  </si>
  <si>
    <t>Kinh phí tuyên truyền Đại hội đại biểu Đảng bộ tỉnh lần thứ XX</t>
  </si>
  <si>
    <t>KP chi trả chế độ theo Nghị định số 178/2024/NĐ-CP, số 67/2025/NĐ-CP</t>
  </si>
  <si>
    <t>KP tặng quà nhân dân nhân dịp kỷ niệm 80 năm Cách mạng tháng Tám và Quốc khánh 2/9</t>
  </si>
  <si>
    <t>KP thực hiện công tác phòng, chống cơn bão số 05 và mưa lũ</t>
  </si>
  <si>
    <t>KP thực hiện các nhiệm vụ phục vụ sắp xếp, tổ chức bộ máy</t>
  </si>
  <si>
    <t>Mua sắm xe ô tô</t>
  </si>
  <si>
    <t xml:space="preserve">Bố trí quy hoạch, đo đạc sử dụng đất </t>
  </si>
  <si>
    <t>Chi đầu tư xây dựng cơ bản từ nguồn NS xã</t>
  </si>
  <si>
    <t>Chi đầu tư xây dựng cơ bản từ nguồn NS cấp trên hổ trợ</t>
  </si>
  <si>
    <t>1.1</t>
  </si>
  <si>
    <t>Chi đầu tư phát triển từ nguồn NS xã</t>
  </si>
  <si>
    <t>1.2</t>
  </si>
  <si>
    <t>Chi đầu tư phát triển từ nguồn NS cấp trên hổ trợ</t>
  </si>
  <si>
    <t xml:space="preserve">Chi đầu tư phát triển. </t>
  </si>
  <si>
    <t>Thu tại xã.</t>
  </si>
  <si>
    <t xml:space="preserve">                                                                            ỦY BAN NHÂN DÂN XÃ</t>
  </si>
  <si>
    <t>Dự toán
năm 2026</t>
  </si>
  <si>
    <t>Dự toán năm 2026</t>
  </si>
  <si>
    <t xml:space="preserve">(Kèm theo báo cáo số        /BC-UBND ngày          /        /           của UBND xã) </t>
  </si>
  <si>
    <t xml:space="preserve">(Kèm theo báo cáo số        /BC-UBND ngày            /            /         của UBND xã) </t>
  </si>
  <si>
    <t>PHỤ LỤC 01: BÁO CÁO TÌNH HÌNH THỰC HIỆN DỰ TOÁN THU NSNN 11 THÁNG NĂM 2025</t>
  </si>
  <si>
    <t>PHỤ LỤC 02: BÁO CÁO TÌNH HÌNH THỰC HIỆN DỰ TOÁN CHI NSNN 11 THÁNG NĂM 2025</t>
  </si>
  <si>
    <t>PHỤ LỤC 08: CÂN ĐỐI NGÂN SÁCH XÃ NĂM 2026</t>
  </si>
  <si>
    <t>PHỤ LỤC 09: PHÂN BỔ DỰ TOÁN THU NGÂN SÁCH NĂM 2026</t>
  </si>
  <si>
    <t>PHỤ LỤC 10: PHÂN BỔ DỰ TOÁN CHI NGÂN SÁCH NHÀ NƯỚC NĂM 2026</t>
  </si>
  <si>
    <t>Sự nghiệp y tế (Trạm y tế xã)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</si>
</sst>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\ _₫_-;\-* #,##0\ _₫_-;_-* &quot;-&quot;??\ _₫_-;_-@_-"/>
    <numFmt numFmtId="165" formatCode="#,##0_ ;\-#,##0\ "/>
    <numFmt numFmtId="166" formatCode="_(* #,##0_);_(* \(#,##0\);_(* &quot;-&quot;??_);_(@_)"/>
    <numFmt numFmtId="167" formatCode="_(* #,##0_);_(* \(#,##0\);_(* &quot;-&quot;?_);_(@_)"/>
    <numFmt numFmtId="168" formatCode="_(* #,##0.0_);_(* \(#,##0.0\);_(* &quot;-&quot;?_);_(@_)"/>
    <numFmt numFmtId="169" formatCode="_(* #,##0.0_);_(* \(#,##0.0\);_(* &quot;-&quot;??_);_(@_)"/>
    <numFmt numFmtId="170" formatCode="_(* #,##0.000000_);_(* \(#,##0.000000\);_(* &quot;-&quot;??_);_(@_)"/>
    <numFmt numFmtId="171" formatCode="#,###"/>
    <numFmt numFmtId="172" formatCode="_(* #,##0.000_);_(* \(#,##0.000\);_(* &quot;-&quot;??_);_(@_)"/>
    <numFmt numFmtId="173" formatCode="#,##0.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i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sz val="12"/>
      <color rgb="FFFF0000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</font>
    <font>
      <b/>
      <i/>
      <sz val="12"/>
      <name val="Times New Roman"/>
      <family val="1"/>
    </font>
    <font>
      <sz val="11"/>
      <color theme="1"/>
      <name val="Calibri"/>
      <family val="2"/>
      <charset val="163"/>
      <scheme val="minor"/>
    </font>
    <font>
      <sz val="14"/>
      <name val=".VnTime"/>
      <family val="2"/>
    </font>
    <font>
      <sz val="10"/>
      <name val="Times New Roman"/>
      <family val="1"/>
    </font>
    <font>
      <sz val="12"/>
      <color theme="1"/>
      <name val="Times New Roman"/>
      <family val="2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2"/>
    </font>
    <font>
      <sz val="12"/>
      <name val=".VnTime"/>
      <family val="2"/>
    </font>
    <font>
      <sz val="11"/>
      <color indexed="8"/>
      <name val="Arial"/>
      <family val="2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rgb="FF000000"/>
      <name val="Times New Roman"/>
      <family val="1"/>
    </font>
    <font>
      <sz val="9"/>
      <color theme="1"/>
      <name val="Arial"/>
      <family val="2"/>
    </font>
    <font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i/>
      <sz val="13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i/>
      <sz val="11"/>
      <color theme="1"/>
      <name val="Calibri"/>
      <family val="2"/>
      <scheme val="minor"/>
    </font>
    <font>
      <i/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14"/>
      <color rgb="FFEE0000"/>
      <name val="Times New Roman"/>
      <family val="1"/>
    </font>
    <font>
      <i/>
      <sz val="9"/>
      <color theme="1"/>
      <name val="Times New Roman"/>
      <family val="1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3" fontId="6" fillId="0" borderId="0">
      <alignment vertical="center" wrapText="1"/>
    </xf>
    <xf numFmtId="43" fontId="1" fillId="0" borderId="0" applyFont="0" applyFill="0" applyBorder="0" applyAlignment="0" applyProtection="0"/>
    <xf numFmtId="0" fontId="1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0" fontId="16" fillId="0" borderId="0"/>
    <xf numFmtId="43" fontId="20" fillId="0" borderId="0" applyFont="0" applyFill="0" applyBorder="0" applyAlignment="0" applyProtection="0"/>
    <xf numFmtId="0" fontId="16" fillId="0" borderId="0"/>
    <xf numFmtId="0" fontId="21" fillId="0" borderId="0"/>
    <xf numFmtId="43" fontId="22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0" fontId="39" fillId="0" borderId="0"/>
  </cellStyleXfs>
  <cellXfs count="369">
    <xf numFmtId="0" fontId="0" fillId="0" borderId="0" xfId="0"/>
    <xf numFmtId="3" fontId="2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64" fontId="3" fillId="0" borderId="0" xfId="1" applyNumberFormat="1" applyFont="1" applyFill="1" applyAlignment="1">
      <alignment horizontal="center" vertical="center"/>
    </xf>
    <xf numFmtId="3" fontId="3" fillId="0" borderId="0" xfId="0" applyNumberFormat="1" applyFont="1" applyAlignment="1">
      <alignment vertical="center"/>
    </xf>
    <xf numFmtId="0" fontId="0" fillId="2" borderId="0" xfId="0" applyFill="1"/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vertical="center" wrapText="1"/>
    </xf>
    <xf numFmtId="9" fontId="6" fillId="0" borderId="1" xfId="2" applyNumberFormat="1" applyBorder="1">
      <alignment vertical="center" wrapText="1"/>
    </xf>
    <xf numFmtId="9" fontId="5" fillId="0" borderId="5" xfId="2" applyNumberFormat="1" applyFont="1" applyBorder="1" applyAlignment="1">
      <alignment horizontal="center" vertical="center" wrapText="1"/>
    </xf>
    <xf numFmtId="164" fontId="5" fillId="0" borderId="5" xfId="1" applyNumberFormat="1" applyFont="1" applyFill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7" fillId="0" borderId="5" xfId="2" applyFont="1" applyBorder="1" applyAlignment="1">
      <alignment horizontal="center" vertical="center" wrapText="1"/>
    </xf>
    <xf numFmtId="3" fontId="7" fillId="0" borderId="5" xfId="2" applyFont="1" applyBorder="1" applyAlignment="1">
      <alignment horizontal="left" vertical="center" wrapText="1"/>
    </xf>
    <xf numFmtId="165" fontId="5" fillId="0" borderId="5" xfId="1" applyNumberFormat="1" applyFont="1" applyFill="1" applyBorder="1" applyAlignment="1">
      <alignment horizontal="right" vertical="center"/>
    </xf>
    <xf numFmtId="3" fontId="6" fillId="0" borderId="5" xfId="2" applyBorder="1" applyAlignment="1">
      <alignment horizontal="center" vertical="center" wrapText="1"/>
    </xf>
    <xf numFmtId="3" fontId="6" fillId="0" borderId="5" xfId="2" applyBorder="1" applyAlignment="1">
      <alignment horizontal="left" vertical="center" wrapText="1"/>
    </xf>
    <xf numFmtId="9" fontId="6" fillId="0" borderId="5" xfId="0" applyNumberFormat="1" applyFont="1" applyBorder="1" applyAlignment="1">
      <alignment horizontal="center" vertical="center"/>
    </xf>
    <xf numFmtId="165" fontId="6" fillId="0" borderId="5" xfId="1" applyNumberFormat="1" applyFont="1" applyFill="1" applyBorder="1" applyAlignment="1">
      <alignment horizontal="right" vertical="center"/>
    </xf>
    <xf numFmtId="3" fontId="8" fillId="0" borderId="5" xfId="2" applyFont="1" applyBorder="1" applyAlignment="1">
      <alignment horizontal="center" vertical="center" wrapText="1"/>
    </xf>
    <xf numFmtId="3" fontId="8" fillId="0" borderId="5" xfId="2" applyFont="1" applyBorder="1" applyAlignment="1">
      <alignment horizontal="left"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vertical="center" wrapText="1"/>
    </xf>
    <xf numFmtId="9" fontId="6" fillId="2" borderId="5" xfId="0" applyNumberFormat="1" applyFont="1" applyFill="1" applyBorder="1" applyAlignment="1">
      <alignment horizontal="center" vertical="center"/>
    </xf>
    <xf numFmtId="165" fontId="6" fillId="2" borderId="5" xfId="1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justify" vertical="center" wrapText="1"/>
    </xf>
    <xf numFmtId="3" fontId="8" fillId="2" borderId="0" xfId="0" applyNumberFormat="1" applyFont="1" applyFill="1" applyAlignment="1">
      <alignment vertical="center"/>
    </xf>
    <xf numFmtId="3" fontId="8" fillId="2" borderId="5" xfId="0" applyNumberFormat="1" applyFont="1" applyFill="1" applyBorder="1" applyAlignment="1">
      <alignment horizontal="center" vertical="center" wrapText="1"/>
    </xf>
    <xf numFmtId="3" fontId="8" fillId="2" borderId="5" xfId="0" applyNumberFormat="1" applyFont="1" applyFill="1" applyBorder="1" applyAlignment="1">
      <alignment vertical="center" wrapText="1"/>
    </xf>
    <xf numFmtId="9" fontId="8" fillId="2" borderId="5" xfId="0" applyNumberFormat="1" applyFont="1" applyFill="1" applyBorder="1" applyAlignment="1">
      <alignment horizontal="center" vertical="center"/>
    </xf>
    <xf numFmtId="165" fontId="8" fillId="2" borderId="5" xfId="1" applyNumberFormat="1" applyFont="1" applyFill="1" applyBorder="1" applyAlignment="1">
      <alignment horizontal="right" vertical="center"/>
    </xf>
    <xf numFmtId="43" fontId="8" fillId="2" borderId="5" xfId="1" applyFont="1" applyFill="1" applyBorder="1" applyAlignment="1">
      <alignment horizontal="right" vertical="center"/>
    </xf>
    <xf numFmtId="3" fontId="6" fillId="0" borderId="5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vertical="center" wrapText="1"/>
    </xf>
    <xf numFmtId="0" fontId="10" fillId="0" borderId="0" xfId="0" applyFont="1"/>
    <xf numFmtId="0" fontId="10" fillId="2" borderId="0" xfId="0" applyFont="1" applyFill="1"/>
    <xf numFmtId="3" fontId="5" fillId="2" borderId="0" xfId="0" applyNumberFormat="1" applyFont="1" applyFill="1" applyAlignment="1">
      <alignment vertical="center"/>
    </xf>
    <xf numFmtId="3" fontId="11" fillId="0" borderId="5" xfId="2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justify" vertical="center" wrapText="1"/>
    </xf>
    <xf numFmtId="3" fontId="8" fillId="0" borderId="5" xfId="0" applyNumberFormat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justify" vertical="center" wrapText="1"/>
    </xf>
    <xf numFmtId="9" fontId="8" fillId="0" borderId="5" xfId="0" applyNumberFormat="1" applyFont="1" applyBorder="1" applyAlignment="1">
      <alignment horizontal="center" vertical="center"/>
    </xf>
    <xf numFmtId="165" fontId="8" fillId="0" borderId="5" xfId="1" applyNumberFormat="1" applyFont="1" applyFill="1" applyBorder="1" applyAlignment="1">
      <alignment horizontal="right" vertical="center"/>
    </xf>
    <xf numFmtId="166" fontId="6" fillId="0" borderId="5" xfId="1" applyNumberFormat="1" applyFont="1" applyFill="1" applyBorder="1" applyAlignment="1">
      <alignment horizontal="right" vertical="center"/>
    </xf>
    <xf numFmtId="3" fontId="5" fillId="0" borderId="5" xfId="2" applyFont="1" applyBorder="1" applyAlignment="1">
      <alignment horizontal="center" vertical="center" wrapText="1"/>
    </xf>
    <xf numFmtId="3" fontId="5" fillId="0" borderId="5" xfId="2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6" fontId="6" fillId="0" borderId="0" xfId="1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6" fontId="5" fillId="0" borderId="1" xfId="3" applyNumberFormat="1" applyFont="1" applyFill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6" fontId="6" fillId="0" borderId="0" xfId="1" applyNumberFormat="1" applyFont="1" applyAlignment="1">
      <alignment horizontal="center" vertical="center"/>
    </xf>
    <xf numFmtId="166" fontId="5" fillId="0" borderId="5" xfId="3" applyNumberFormat="1" applyFont="1" applyFill="1" applyBorder="1" applyAlignment="1">
      <alignment horizontal="center" vertical="center" wrapText="1"/>
    </xf>
    <xf numFmtId="3" fontId="5" fillId="0" borderId="5" xfId="4" applyNumberFormat="1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3" fontId="6" fillId="0" borderId="0" xfId="1" applyFont="1" applyAlignment="1">
      <alignment vertical="center"/>
    </xf>
    <xf numFmtId="0" fontId="5" fillId="0" borderId="5" xfId="4" applyFont="1" applyBorder="1" applyAlignment="1">
      <alignment horizontal="center" vertical="center"/>
    </xf>
    <xf numFmtId="0" fontId="5" fillId="0" borderId="5" xfId="4" applyFont="1" applyBorder="1" applyAlignment="1">
      <alignment horizontal="justify" vertical="center" wrapText="1"/>
    </xf>
    <xf numFmtId="166" fontId="5" fillId="0" borderId="5" xfId="5" applyNumberFormat="1" applyFont="1" applyFill="1" applyBorder="1" applyAlignment="1">
      <alignment vertical="center"/>
    </xf>
    <xf numFmtId="166" fontId="5" fillId="0" borderId="5" xfId="4" applyNumberFormat="1" applyFont="1" applyBorder="1" applyAlignment="1">
      <alignment horizontal="center" vertical="center" wrapText="1"/>
    </xf>
    <xf numFmtId="166" fontId="5" fillId="0" borderId="0" xfId="4" applyNumberFormat="1" applyFont="1" applyAlignment="1">
      <alignment horizontal="center" vertical="center" wrapText="1"/>
    </xf>
    <xf numFmtId="166" fontId="5" fillId="0" borderId="0" xfId="1" applyNumberFormat="1" applyFont="1" applyAlignment="1">
      <alignment vertical="center"/>
    </xf>
    <xf numFmtId="0" fontId="6" fillId="0" borderId="5" xfId="4" applyFont="1" applyBorder="1" applyAlignment="1">
      <alignment horizontal="center" vertical="center"/>
    </xf>
    <xf numFmtId="0" fontId="6" fillId="0" borderId="5" xfId="4" applyFont="1" applyBorder="1" applyAlignment="1">
      <alignment horizontal="justify" vertical="center" wrapText="1"/>
    </xf>
    <xf numFmtId="166" fontId="6" fillId="0" borderId="5" xfId="6" applyNumberFormat="1" applyFont="1" applyFill="1" applyBorder="1" applyAlignment="1">
      <alignment vertical="center" wrapText="1"/>
    </xf>
    <xf numFmtId="166" fontId="6" fillId="0" borderId="5" xfId="4" applyNumberFormat="1" applyFont="1" applyBorder="1" applyAlignment="1">
      <alignment horizontal="center" vertical="center" wrapText="1"/>
    </xf>
    <xf numFmtId="166" fontId="6" fillId="0" borderId="0" xfId="4" applyNumberFormat="1" applyFont="1" applyAlignment="1">
      <alignment horizontal="center" vertical="center" wrapText="1"/>
    </xf>
    <xf numFmtId="166" fontId="6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5" fillId="0" borderId="5" xfId="7" applyFont="1" applyBorder="1" applyAlignment="1">
      <alignment horizontal="center" vertical="center"/>
    </xf>
    <xf numFmtId="0" fontId="5" fillId="0" borderId="5" xfId="7" applyFont="1" applyBorder="1" applyAlignment="1">
      <alignment vertical="center" wrapText="1"/>
    </xf>
    <xf numFmtId="166" fontId="5" fillId="0" borderId="5" xfId="3" applyNumberFormat="1" applyFont="1" applyFill="1" applyBorder="1" applyAlignment="1">
      <alignment vertical="center"/>
    </xf>
    <xf numFmtId="166" fontId="5" fillId="0" borderId="5" xfId="3" applyNumberFormat="1" applyFont="1" applyFill="1" applyBorder="1" applyAlignment="1">
      <alignment horizontal="left" vertical="center" wrapText="1"/>
    </xf>
    <xf numFmtId="166" fontId="5" fillId="0" borderId="0" xfId="3" applyNumberFormat="1" applyFont="1" applyFill="1" applyBorder="1" applyAlignment="1">
      <alignment horizontal="left" vertical="center" wrapText="1"/>
    </xf>
    <xf numFmtId="0" fontId="5" fillId="0" borderId="5" xfId="7" quotePrefix="1" applyFont="1" applyBorder="1" applyAlignment="1">
      <alignment horizontal="center" vertical="center"/>
    </xf>
    <xf numFmtId="166" fontId="6" fillId="0" borderId="5" xfId="3" applyNumberFormat="1" applyFont="1" applyFill="1" applyBorder="1" applyAlignment="1">
      <alignment horizontal="left" vertical="center" wrapText="1"/>
    </xf>
    <xf numFmtId="9" fontId="6" fillId="0" borderId="0" xfId="0" applyNumberFormat="1" applyFont="1" applyAlignment="1">
      <alignment vertical="center"/>
    </xf>
    <xf numFmtId="0" fontId="6" fillId="0" borderId="5" xfId="0" quotePrefix="1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 wrapText="1"/>
    </xf>
    <xf numFmtId="166" fontId="6" fillId="0" borderId="5" xfId="8" applyNumberFormat="1" applyFont="1" applyFill="1" applyBorder="1" applyAlignment="1">
      <alignment vertical="center" wrapText="1"/>
    </xf>
    <xf numFmtId="166" fontId="6" fillId="0" borderId="0" xfId="3" applyNumberFormat="1" applyFont="1" applyFill="1" applyBorder="1" applyAlignment="1">
      <alignment horizontal="left" vertical="center" wrapText="1"/>
    </xf>
    <xf numFmtId="49" fontId="6" fillId="0" borderId="5" xfId="0" quotePrefix="1" applyNumberFormat="1" applyFont="1" applyBorder="1" applyAlignment="1">
      <alignment vertical="center" wrapText="1"/>
    </xf>
    <xf numFmtId="166" fontId="6" fillId="0" borderId="5" xfId="3" applyNumberFormat="1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vertical="center" wrapText="1"/>
    </xf>
    <xf numFmtId="166" fontId="15" fillId="0" borderId="5" xfId="3" applyNumberFormat="1" applyFont="1" applyFill="1" applyBorder="1" applyAlignment="1">
      <alignment vertical="center" wrapText="1"/>
    </xf>
    <xf numFmtId="166" fontId="15" fillId="0" borderId="0" xfId="3" applyNumberFormat="1" applyFont="1" applyFill="1" applyBorder="1" applyAlignment="1">
      <alignment vertical="center" wrapText="1"/>
    </xf>
    <xf numFmtId="167" fontId="6" fillId="0" borderId="0" xfId="0" applyNumberFormat="1" applyFont="1" applyAlignment="1">
      <alignment vertical="center"/>
    </xf>
    <xf numFmtId="168" fontId="5" fillId="0" borderId="0" xfId="0" applyNumberFormat="1" applyFont="1" applyAlignment="1">
      <alignment vertical="center"/>
    </xf>
    <xf numFmtId="0" fontId="8" fillId="0" borderId="5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vertical="center" wrapText="1"/>
    </xf>
    <xf numFmtId="169" fontId="8" fillId="0" borderId="5" xfId="3" applyNumberFormat="1" applyFont="1" applyFill="1" applyBorder="1" applyAlignment="1">
      <alignment vertical="center"/>
    </xf>
    <xf numFmtId="166" fontId="8" fillId="0" borderId="5" xfId="3" applyNumberFormat="1" applyFont="1" applyFill="1" applyBorder="1" applyAlignment="1">
      <alignment horizontal="left" vertical="center" wrapText="1"/>
    </xf>
    <xf numFmtId="166" fontId="8" fillId="0" borderId="0" xfId="3" applyNumberFormat="1" applyFont="1" applyFill="1" applyBorder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166" fontId="8" fillId="0" borderId="0" xfId="1" applyNumberFormat="1" applyFont="1" applyAlignment="1">
      <alignment vertical="center"/>
    </xf>
    <xf numFmtId="0" fontId="8" fillId="0" borderId="5" xfId="7" applyFont="1" applyBorder="1" applyAlignment="1">
      <alignment vertical="center" wrapText="1"/>
    </xf>
    <xf numFmtId="168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6" fillId="0" borderId="5" xfId="7" quotePrefix="1" applyFont="1" applyBorder="1" applyAlignment="1">
      <alignment horizontal="center" vertical="center"/>
    </xf>
    <xf numFmtId="0" fontId="6" fillId="0" borderId="5" xfId="7" applyFont="1" applyBorder="1" applyAlignment="1">
      <alignment vertical="center" wrapText="1"/>
    </xf>
    <xf numFmtId="3" fontId="5" fillId="0" borderId="5" xfId="9" applyNumberFormat="1" applyFont="1" applyBorder="1" applyAlignment="1">
      <alignment vertical="center"/>
    </xf>
    <xf numFmtId="166" fontId="6" fillId="2" borderId="5" xfId="3" applyNumberFormat="1" applyFont="1" applyFill="1" applyBorder="1" applyAlignment="1">
      <alignment vertical="center"/>
    </xf>
    <xf numFmtId="166" fontId="6" fillId="0" borderId="5" xfId="1" applyNumberFormat="1" applyFont="1" applyFill="1" applyBorder="1" applyAlignment="1">
      <alignment vertical="center" wrapText="1"/>
    </xf>
    <xf numFmtId="0" fontId="6" fillId="0" borderId="5" xfId="7" applyFont="1" applyBorder="1" applyAlignment="1">
      <alignment horizontal="center" vertical="center"/>
    </xf>
    <xf numFmtId="170" fontId="6" fillId="0" borderId="5" xfId="1" applyNumberFormat="1" applyFont="1" applyFill="1" applyBorder="1" applyAlignment="1">
      <alignment horizontal="left" vertical="center" wrapText="1"/>
    </xf>
    <xf numFmtId="170" fontId="6" fillId="0" borderId="0" xfId="1" applyNumberFormat="1" applyFont="1" applyFill="1" applyBorder="1" applyAlignment="1">
      <alignment horizontal="left" vertical="center" wrapText="1"/>
    </xf>
    <xf numFmtId="166" fontId="6" fillId="0" borderId="5" xfId="1" applyNumberFormat="1" applyFont="1" applyFill="1" applyBorder="1" applyAlignment="1"/>
    <xf numFmtId="166" fontId="17" fillId="2" borderId="0" xfId="1" applyNumberFormat="1" applyFont="1" applyFill="1" applyBorder="1" applyAlignment="1">
      <alignment vertical="center"/>
    </xf>
    <xf numFmtId="0" fontId="6" fillId="0" borderId="5" xfId="0" applyFont="1" applyBorder="1"/>
    <xf numFmtId="166" fontId="6" fillId="0" borderId="5" xfId="1" applyNumberFormat="1" applyFont="1" applyFill="1" applyBorder="1" applyAlignment="1">
      <alignment shrinkToFit="1"/>
    </xf>
    <xf numFmtId="166" fontId="6" fillId="2" borderId="5" xfId="1" applyNumberFormat="1" applyFont="1" applyFill="1" applyBorder="1" applyAlignment="1">
      <alignment shrinkToFit="1"/>
    </xf>
    <xf numFmtId="166" fontId="15" fillId="0" borderId="5" xfId="3" applyNumberFormat="1" applyFont="1" applyFill="1" applyBorder="1" applyAlignment="1">
      <alignment horizontal="center" vertical="center" wrapText="1"/>
    </xf>
    <xf numFmtId="166" fontId="15" fillId="0" borderId="0" xfId="3" applyNumberFormat="1" applyFont="1" applyFill="1" applyBorder="1" applyAlignment="1">
      <alignment horizontal="center" vertical="center" wrapText="1"/>
    </xf>
    <xf numFmtId="166" fontId="6" fillId="0" borderId="5" xfId="1" applyNumberFormat="1" applyFont="1" applyFill="1" applyBorder="1" applyAlignment="1">
      <alignment vertical="center" shrinkToFit="1"/>
    </xf>
    <xf numFmtId="43" fontId="5" fillId="0" borderId="0" xfId="0" applyNumberFormat="1" applyFont="1" applyAlignment="1">
      <alignment vertical="center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horizontal="left" vertical="center" wrapText="1"/>
    </xf>
    <xf numFmtId="166" fontId="6" fillId="0" borderId="5" xfId="3" applyNumberFormat="1" applyFont="1" applyFill="1" applyBorder="1" applyAlignment="1">
      <alignment horizontal="center" vertical="center"/>
    </xf>
    <xf numFmtId="166" fontId="5" fillId="0" borderId="0" xfId="1" applyNumberFormat="1" applyFont="1" applyAlignment="1">
      <alignment horizontal="center" vertical="center"/>
    </xf>
    <xf numFmtId="166" fontId="18" fillId="0" borderId="5" xfId="3" applyNumberFormat="1" applyFont="1" applyFill="1" applyBorder="1" applyAlignment="1">
      <alignment horizontal="center" vertical="center" wrapText="1"/>
    </xf>
    <xf numFmtId="166" fontId="18" fillId="0" borderId="0" xfId="3" applyNumberFormat="1" applyFont="1" applyFill="1" applyBorder="1" applyAlignment="1">
      <alignment horizontal="center" vertical="center" wrapText="1"/>
    </xf>
    <xf numFmtId="166" fontId="6" fillId="0" borderId="1" xfId="3" applyNumberFormat="1" applyFont="1" applyFill="1" applyBorder="1" applyAlignment="1">
      <alignment horizontal="left" vertical="center" wrapText="1"/>
    </xf>
    <xf numFmtId="166" fontId="5" fillId="0" borderId="1" xfId="3" applyNumberFormat="1" applyFont="1" applyFill="1" applyBorder="1" applyAlignment="1">
      <alignment horizontal="left" vertical="center" wrapText="1"/>
    </xf>
    <xf numFmtId="43" fontId="5" fillId="0" borderId="0" xfId="3" applyFont="1" applyFill="1" applyBorder="1" applyAlignment="1">
      <alignment horizontal="left" vertical="center" wrapText="1"/>
    </xf>
    <xf numFmtId="166" fontId="5" fillId="0" borderId="5" xfId="1" applyNumberFormat="1" applyFont="1" applyFill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166" fontId="6" fillId="0" borderId="0" xfId="3" applyNumberFormat="1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166" fontId="0" fillId="0" borderId="0" xfId="0" applyNumberFormat="1"/>
    <xf numFmtId="3" fontId="4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5" xfId="0" applyFont="1" applyBorder="1" applyAlignment="1">
      <alignment vertical="center" wrapText="1"/>
    </xf>
    <xf numFmtId="3" fontId="31" fillId="0" borderId="5" xfId="1" applyNumberFormat="1" applyFont="1" applyFill="1" applyBorder="1" applyAlignment="1">
      <alignment vertical="center" wrapText="1"/>
    </xf>
    <xf numFmtId="0" fontId="32" fillId="0" borderId="5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vertical="center" wrapText="1"/>
    </xf>
    <xf numFmtId="0" fontId="32" fillId="0" borderId="5" xfId="0" applyFont="1" applyBorder="1" applyAlignment="1">
      <alignment vertical="center" wrapText="1"/>
    </xf>
    <xf numFmtId="3" fontId="3" fillId="2" borderId="5" xfId="1" applyNumberFormat="1" applyFont="1" applyFill="1" applyBorder="1" applyAlignment="1">
      <alignment vertical="center" wrapText="1"/>
    </xf>
    <xf numFmtId="166" fontId="0" fillId="0" borderId="0" xfId="1" applyNumberFormat="1" applyFont="1"/>
    <xf numFmtId="3" fontId="3" fillId="0" borderId="5" xfId="1" applyNumberFormat="1" applyFont="1" applyFill="1" applyBorder="1" applyAlignment="1">
      <alignment vertical="center" wrapText="1"/>
    </xf>
    <xf numFmtId="3" fontId="32" fillId="0" borderId="5" xfId="1" applyNumberFormat="1" applyFont="1" applyFill="1" applyBorder="1" applyAlignment="1">
      <alignment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5" xfId="0" applyFont="1" applyBorder="1" applyAlignment="1">
      <alignment vertical="center" wrapText="1"/>
    </xf>
    <xf numFmtId="3" fontId="33" fillId="0" borderId="5" xfId="1" applyNumberFormat="1" applyFont="1" applyFill="1" applyBorder="1" applyAlignment="1">
      <alignment vertical="center" wrapText="1"/>
    </xf>
    <xf numFmtId="0" fontId="34" fillId="0" borderId="0" xfId="0" applyFont="1"/>
    <xf numFmtId="3" fontId="0" fillId="2" borderId="0" xfId="0" applyNumberFormat="1" applyFill="1"/>
    <xf numFmtId="171" fontId="26" fillId="0" borderId="0" xfId="0" applyNumberFormat="1" applyFont="1" applyAlignment="1">
      <alignment horizontal="right" vertical="center" wrapText="1"/>
    </xf>
    <xf numFmtId="3" fontId="9" fillId="2" borderId="0" xfId="0" applyNumberFormat="1" applyFont="1" applyFill="1" applyAlignment="1">
      <alignment vertical="center"/>
    </xf>
    <xf numFmtId="166" fontId="10" fillId="2" borderId="0" xfId="1" applyNumberFormat="1" applyFont="1" applyFill="1" applyBorder="1" applyAlignment="1">
      <alignment vertical="center"/>
    </xf>
    <xf numFmtId="165" fontId="0" fillId="2" borderId="0" xfId="0" applyNumberFormat="1" applyFill="1"/>
    <xf numFmtId="0" fontId="35" fillId="0" borderId="0" xfId="0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6" fontId="4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horizontal="justify" vertical="center"/>
    </xf>
    <xf numFmtId="3" fontId="8" fillId="0" borderId="5" xfId="0" applyNumberFormat="1" applyFont="1" applyBorder="1" applyAlignment="1">
      <alignment vertical="center" wrapText="1"/>
    </xf>
    <xf numFmtId="3" fontId="8" fillId="2" borderId="5" xfId="0" applyNumberFormat="1" applyFont="1" applyFill="1" applyBorder="1" applyAlignment="1">
      <alignment horizontal="justify" vertical="center" wrapText="1"/>
    </xf>
    <xf numFmtId="166" fontId="3" fillId="0" borderId="0" xfId="0" applyNumberFormat="1" applyFont="1" applyAlignment="1">
      <alignment horizontal="justify" vertical="center"/>
    </xf>
    <xf numFmtId="166" fontId="3" fillId="0" borderId="0" xfId="1" applyNumberFormat="1" applyFont="1" applyFill="1" applyAlignment="1">
      <alignment horizontal="justify" vertical="center"/>
    </xf>
    <xf numFmtId="0" fontId="19" fillId="2" borderId="0" xfId="0" applyFont="1" applyFill="1" applyAlignment="1">
      <alignment horizontal="center" vertical="center"/>
    </xf>
    <xf numFmtId="0" fontId="38" fillId="2" borderId="0" xfId="0" applyFont="1" applyFill="1" applyAlignment="1">
      <alignment vertical="center"/>
    </xf>
    <xf numFmtId="0" fontId="40" fillId="2" borderId="0" xfId="0" applyFont="1" applyFill="1" applyAlignment="1">
      <alignment vertical="center"/>
    </xf>
    <xf numFmtId="166" fontId="40" fillId="2" borderId="0" xfId="1" applyNumberFormat="1" applyFont="1" applyFill="1" applyAlignment="1">
      <alignment vertical="center"/>
    </xf>
    <xf numFmtId="0" fontId="38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vertical="center"/>
    </xf>
    <xf numFmtId="166" fontId="37" fillId="2" borderId="5" xfId="3" applyNumberFormat="1" applyFont="1" applyFill="1" applyBorder="1" applyAlignment="1">
      <alignment horizontal="center" vertical="center" wrapText="1"/>
    </xf>
    <xf numFmtId="3" fontId="37" fillId="2" borderId="5" xfId="4" applyNumberFormat="1" applyFont="1" applyFill="1" applyBorder="1" applyAlignment="1">
      <alignment horizontal="center" vertical="center" wrapText="1"/>
    </xf>
    <xf numFmtId="0" fontId="37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horizontal="center" vertical="center"/>
    </xf>
    <xf numFmtId="166" fontId="42" fillId="2" borderId="0" xfId="1" applyNumberFormat="1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3" fontId="42" fillId="2" borderId="0" xfId="0" applyNumberFormat="1" applyFont="1" applyFill="1" applyAlignment="1">
      <alignment horizontal="center" vertical="center"/>
    </xf>
    <xf numFmtId="3" fontId="37" fillId="2" borderId="5" xfId="4" applyNumberFormat="1" applyFont="1" applyFill="1" applyBorder="1" applyAlignment="1">
      <alignment vertical="center" wrapText="1"/>
    </xf>
    <xf numFmtId="43" fontId="37" fillId="2" borderId="5" xfId="1" applyFont="1" applyFill="1" applyBorder="1" applyAlignment="1">
      <alignment vertical="center" wrapText="1"/>
    </xf>
    <xf numFmtId="3" fontId="37" fillId="2" borderId="0" xfId="4" applyNumberFormat="1" applyFont="1" applyFill="1" applyAlignment="1">
      <alignment vertical="center" wrapText="1"/>
    </xf>
    <xf numFmtId="3" fontId="42" fillId="2" borderId="0" xfId="0" applyNumberFormat="1" applyFont="1" applyFill="1" applyAlignment="1">
      <alignment vertical="center"/>
    </xf>
    <xf numFmtId="166" fontId="24" fillId="2" borderId="0" xfId="1" applyNumberFormat="1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37" fillId="2" borderId="5" xfId="4" applyFont="1" applyFill="1" applyBorder="1" applyAlignment="1">
      <alignment horizontal="center" vertical="center"/>
    </xf>
    <xf numFmtId="0" fontId="37" fillId="2" borderId="5" xfId="4" applyFont="1" applyFill="1" applyBorder="1" applyAlignment="1">
      <alignment horizontal="justify" vertical="center" wrapText="1"/>
    </xf>
    <xf numFmtId="166" fontId="37" fillId="2" borderId="5" xfId="5" applyNumberFormat="1" applyFont="1" applyFill="1" applyBorder="1" applyAlignment="1">
      <alignment vertical="center"/>
    </xf>
    <xf numFmtId="0" fontId="42" fillId="2" borderId="0" xfId="0" applyFont="1" applyFill="1" applyAlignment="1">
      <alignment vertical="center"/>
    </xf>
    <xf numFmtId="166" fontId="42" fillId="2" borderId="0" xfId="1" applyNumberFormat="1" applyFont="1" applyFill="1" applyAlignment="1">
      <alignment vertical="center"/>
    </xf>
    <xf numFmtId="0" fontId="37" fillId="2" borderId="0" xfId="0" applyFont="1" applyFill="1" applyAlignment="1">
      <alignment vertical="center"/>
    </xf>
    <xf numFmtId="0" fontId="24" fillId="2" borderId="5" xfId="4" applyFont="1" applyFill="1" applyBorder="1" applyAlignment="1">
      <alignment horizontal="center" vertical="center"/>
    </xf>
    <xf numFmtId="0" fontId="24" fillId="2" borderId="5" xfId="4" applyFont="1" applyFill="1" applyBorder="1" applyAlignment="1">
      <alignment horizontal="justify" vertical="center" wrapText="1"/>
    </xf>
    <xf numFmtId="166" fontId="24" fillId="2" borderId="5" xfId="6" applyNumberFormat="1" applyFont="1" applyFill="1" applyBorder="1" applyAlignment="1">
      <alignment vertical="center" wrapText="1"/>
    </xf>
    <xf numFmtId="3" fontId="24" fillId="2" borderId="5" xfId="4" applyNumberFormat="1" applyFont="1" applyFill="1" applyBorder="1" applyAlignment="1">
      <alignment vertical="center" wrapText="1"/>
    </xf>
    <xf numFmtId="166" fontId="24" fillId="2" borderId="5" xfId="4" applyNumberFormat="1" applyFont="1" applyFill="1" applyBorder="1" applyAlignment="1">
      <alignment horizontal="center" vertical="center" wrapText="1"/>
    </xf>
    <xf numFmtId="43" fontId="24" fillId="2" borderId="5" xfId="1" applyFont="1" applyFill="1" applyBorder="1" applyAlignment="1">
      <alignment vertical="center" wrapText="1"/>
    </xf>
    <xf numFmtId="166" fontId="24" fillId="2" borderId="0" xfId="1" applyNumberFormat="1" applyFont="1" applyFill="1" applyAlignment="1">
      <alignment vertical="center" wrapText="1"/>
    </xf>
    <xf numFmtId="3" fontId="43" fillId="0" borderId="0" xfId="0" applyNumberFormat="1" applyFont="1"/>
    <xf numFmtId="43" fontId="42" fillId="2" borderId="0" xfId="0" applyNumberFormat="1" applyFont="1" applyFill="1" applyAlignment="1">
      <alignment vertical="center"/>
    </xf>
    <xf numFmtId="166" fontId="42" fillId="2" borderId="0" xfId="0" applyNumberFormat="1" applyFont="1" applyFill="1" applyAlignment="1">
      <alignment vertical="center"/>
    </xf>
    <xf numFmtId="0" fontId="37" fillId="2" borderId="5" xfId="7" applyFont="1" applyFill="1" applyBorder="1" applyAlignment="1">
      <alignment horizontal="center" vertical="center"/>
    </xf>
    <xf numFmtId="0" fontId="37" fillId="2" borderId="5" xfId="7" applyFont="1" applyFill="1" applyBorder="1" applyAlignment="1">
      <alignment vertical="center" wrapText="1"/>
    </xf>
    <xf numFmtId="166" fontId="37" fillId="2" borderId="5" xfId="3" applyNumberFormat="1" applyFont="1" applyFill="1" applyBorder="1" applyAlignment="1">
      <alignment vertical="center"/>
    </xf>
    <xf numFmtId="166" fontId="37" fillId="2" borderId="0" xfId="1" applyNumberFormat="1" applyFont="1" applyFill="1" applyAlignment="1">
      <alignment vertical="center"/>
    </xf>
    <xf numFmtId="166" fontId="37" fillId="2" borderId="0" xfId="0" applyNumberFormat="1" applyFont="1" applyFill="1" applyAlignment="1">
      <alignment vertical="center"/>
    </xf>
    <xf numFmtId="0" fontId="37" fillId="2" borderId="5" xfId="7" quotePrefix="1" applyFont="1" applyFill="1" applyBorder="1" applyAlignment="1">
      <alignment horizontal="center" vertical="center"/>
    </xf>
    <xf numFmtId="3" fontId="40" fillId="2" borderId="0" xfId="0" applyNumberFormat="1" applyFont="1" applyFill="1" applyAlignment="1">
      <alignment vertical="center"/>
    </xf>
    <xf numFmtId="0" fontId="24" fillId="2" borderId="5" xfId="0" quotePrefix="1" applyFont="1" applyFill="1" applyBorder="1" applyAlignment="1">
      <alignment horizontal="center" vertical="center"/>
    </xf>
    <xf numFmtId="49" fontId="24" fillId="2" borderId="5" xfId="0" applyNumberFormat="1" applyFont="1" applyFill="1" applyBorder="1" applyAlignment="1">
      <alignment vertical="center" wrapText="1"/>
    </xf>
    <xf numFmtId="166" fontId="24" fillId="2" borderId="5" xfId="8" applyNumberFormat="1" applyFont="1" applyFill="1" applyBorder="1" applyAlignment="1">
      <alignment vertical="center" wrapText="1"/>
    </xf>
    <xf numFmtId="166" fontId="24" fillId="2" borderId="5" xfId="15" applyNumberFormat="1" applyFont="1" applyFill="1" applyBorder="1" applyAlignment="1">
      <alignment vertical="center" wrapText="1"/>
    </xf>
    <xf numFmtId="166" fontId="24" fillId="2" borderId="5" xfId="3" applyNumberFormat="1" applyFont="1" applyFill="1" applyBorder="1" applyAlignment="1">
      <alignment horizontal="left" vertical="center" wrapText="1"/>
    </xf>
    <xf numFmtId="166" fontId="24" fillId="2" borderId="5" xfId="1" applyNumberFormat="1" applyFont="1" applyFill="1" applyBorder="1" applyAlignment="1">
      <alignment vertical="center" wrapText="1"/>
    </xf>
    <xf numFmtId="166" fontId="40" fillId="2" borderId="0" xfId="0" applyNumberFormat="1" applyFont="1" applyFill="1" applyAlignment="1">
      <alignment vertical="center"/>
    </xf>
    <xf numFmtId="49" fontId="24" fillId="2" borderId="5" xfId="0" quotePrefix="1" applyNumberFormat="1" applyFont="1" applyFill="1" applyBorder="1" applyAlignment="1">
      <alignment vertical="center" wrapText="1"/>
    </xf>
    <xf numFmtId="166" fontId="24" fillId="2" borderId="5" xfId="3" applyNumberFormat="1" applyFont="1" applyFill="1" applyBorder="1" applyAlignment="1">
      <alignment vertical="center"/>
    </xf>
    <xf numFmtId="0" fontId="36" fillId="2" borderId="5" xfId="4" applyFont="1" applyFill="1" applyBorder="1" applyAlignment="1">
      <alignment horizontal="center" vertical="center"/>
    </xf>
    <xf numFmtId="0" fontId="36" fillId="2" borderId="5" xfId="4" applyFont="1" applyFill="1" applyBorder="1" applyAlignment="1">
      <alignment horizontal="justify" vertical="center" wrapText="1"/>
    </xf>
    <xf numFmtId="3" fontId="36" fillId="2" borderId="5" xfId="4" applyNumberFormat="1" applyFont="1" applyFill="1" applyBorder="1" applyAlignment="1">
      <alignment vertical="center"/>
    </xf>
    <xf numFmtId="166" fontId="36" fillId="2" borderId="5" xfId="5" applyNumberFormat="1" applyFont="1" applyFill="1" applyBorder="1" applyAlignment="1">
      <alignment vertical="center" wrapText="1"/>
    </xf>
    <xf numFmtId="166" fontId="44" fillId="2" borderId="0" xfId="0" applyNumberFormat="1" applyFont="1" applyFill="1" applyAlignment="1">
      <alignment vertical="center"/>
    </xf>
    <xf numFmtId="0" fontId="44" fillId="2" borderId="0" xfId="0" applyFont="1" applyFill="1" applyAlignment="1">
      <alignment vertical="center"/>
    </xf>
    <xf numFmtId="166" fontId="44" fillId="2" borderId="0" xfId="1" applyNumberFormat="1" applyFont="1" applyFill="1" applyAlignment="1">
      <alignment vertical="center"/>
    </xf>
    <xf numFmtId="0" fontId="36" fillId="2" borderId="0" xfId="0" applyFont="1" applyFill="1" applyAlignment="1">
      <alignment vertical="center"/>
    </xf>
    <xf numFmtId="43" fontId="36" fillId="2" borderId="5" xfId="1" applyFont="1" applyFill="1" applyBorder="1" applyAlignment="1">
      <alignment vertical="center" wrapText="1"/>
    </xf>
    <xf numFmtId="0" fontId="37" fillId="2" borderId="5" xfId="0" applyFont="1" applyFill="1" applyBorder="1" applyAlignment="1">
      <alignment horizontal="center" vertical="center"/>
    </xf>
    <xf numFmtId="49" fontId="37" fillId="2" borderId="5" xfId="0" applyNumberFormat="1" applyFont="1" applyFill="1" applyBorder="1" applyAlignment="1">
      <alignment vertical="center" wrapText="1"/>
    </xf>
    <xf numFmtId="166" fontId="42" fillId="2" borderId="0" xfId="1" applyNumberFormat="1" applyFont="1" applyFill="1" applyBorder="1" applyAlignment="1">
      <alignment vertical="center"/>
    </xf>
    <xf numFmtId="0" fontId="24" fillId="2" borderId="5" xfId="0" applyFont="1" applyFill="1" applyBorder="1" applyAlignment="1">
      <alignment horizontal="center" vertical="center"/>
    </xf>
    <xf numFmtId="166" fontId="24" fillId="2" borderId="1" xfId="3" applyNumberFormat="1" applyFont="1" applyFill="1" applyBorder="1" applyAlignment="1">
      <alignment horizontal="center" vertical="center" wrapText="1"/>
    </xf>
    <xf numFmtId="166" fontId="24" fillId="2" borderId="5" xfId="3" applyNumberFormat="1" applyFont="1" applyFill="1" applyBorder="1" applyAlignment="1">
      <alignment horizontal="center" vertical="center" wrapText="1"/>
    </xf>
    <xf numFmtId="166" fontId="24" fillId="2" borderId="4" xfId="3" applyNumberFormat="1" applyFont="1" applyFill="1" applyBorder="1" applyAlignment="1">
      <alignment horizontal="center" vertical="center" wrapText="1"/>
    </xf>
    <xf numFmtId="0" fontId="24" fillId="2" borderId="5" xfId="7" quotePrefix="1" applyFont="1" applyFill="1" applyBorder="1" applyAlignment="1">
      <alignment horizontal="center" vertical="center"/>
    </xf>
    <xf numFmtId="0" fontId="24" fillId="2" borderId="5" xfId="7" applyFont="1" applyFill="1" applyBorder="1" applyAlignment="1">
      <alignment vertical="center" wrapText="1"/>
    </xf>
    <xf numFmtId="3" fontId="37" fillId="2" borderId="5" xfId="9" applyNumberFormat="1" applyFont="1" applyFill="1" applyBorder="1" applyAlignment="1">
      <alignment vertical="center"/>
    </xf>
    <xf numFmtId="3" fontId="24" fillId="2" borderId="5" xfId="3" applyNumberFormat="1" applyFont="1" applyFill="1" applyBorder="1" applyAlignment="1">
      <alignment vertical="center"/>
    </xf>
    <xf numFmtId="173" fontId="42" fillId="2" borderId="0" xfId="0" applyNumberFormat="1" applyFont="1" applyFill="1" applyAlignment="1">
      <alignment vertical="center"/>
    </xf>
    <xf numFmtId="1" fontId="40" fillId="2" borderId="0" xfId="0" applyNumberFormat="1" applyFont="1" applyFill="1" applyAlignment="1">
      <alignment vertical="center"/>
    </xf>
    <xf numFmtId="3" fontId="40" fillId="2" borderId="0" xfId="0" applyNumberFormat="1" applyFont="1" applyFill="1"/>
    <xf numFmtId="166" fontId="37" fillId="2" borderId="5" xfId="1" applyNumberFormat="1" applyFont="1" applyFill="1" applyBorder="1" applyAlignment="1">
      <alignment vertical="center" wrapText="1"/>
    </xf>
    <xf numFmtId="0" fontId="24" fillId="2" borderId="5" xfId="7" applyFont="1" applyFill="1" applyBorder="1" applyAlignment="1">
      <alignment horizontal="center" vertical="center"/>
    </xf>
    <xf numFmtId="166" fontId="24" fillId="2" borderId="5" xfId="1" applyNumberFormat="1" applyFont="1" applyFill="1" applyBorder="1" applyAlignment="1">
      <alignment horizontal="left" vertical="center" wrapText="1"/>
    </xf>
    <xf numFmtId="170" fontId="42" fillId="2" borderId="0" xfId="0" applyNumberFormat="1" applyFont="1" applyFill="1" applyAlignment="1">
      <alignment vertical="center"/>
    </xf>
    <xf numFmtId="166" fontId="24" fillId="2" borderId="5" xfId="1" applyNumberFormat="1" applyFont="1" applyFill="1" applyBorder="1" applyAlignment="1"/>
    <xf numFmtId="3" fontId="40" fillId="2" borderId="0" xfId="0" applyNumberFormat="1" applyFont="1" applyFill="1" applyAlignment="1">
      <alignment horizontal="right" vertical="center"/>
    </xf>
    <xf numFmtId="166" fontId="40" fillId="2" borderId="0" xfId="0" applyNumberFormat="1" applyFont="1" applyFill="1" applyAlignment="1">
      <alignment horizontal="center" vertical="center" wrapText="1"/>
    </xf>
    <xf numFmtId="3" fontId="40" fillId="2" borderId="0" xfId="0" applyNumberFormat="1" applyFont="1" applyFill="1" applyAlignment="1">
      <alignment horizontal="center" vertical="center"/>
    </xf>
    <xf numFmtId="1" fontId="42" fillId="2" borderId="0" xfId="0" applyNumberFormat="1" applyFont="1" applyFill="1" applyAlignment="1">
      <alignment vertical="center"/>
    </xf>
    <xf numFmtId="166" fontId="40" fillId="2" borderId="0" xfId="1" applyNumberFormat="1" applyFont="1" applyFill="1"/>
    <xf numFmtId="166" fontId="24" fillId="2" borderId="0" xfId="1" applyNumberFormat="1" applyFont="1" applyFill="1"/>
    <xf numFmtId="166" fontId="24" fillId="2" borderId="5" xfId="1" applyNumberFormat="1" applyFont="1" applyFill="1" applyBorder="1" applyAlignment="1">
      <alignment shrinkToFit="1"/>
    </xf>
    <xf numFmtId="0" fontId="24" fillId="2" borderId="5" xfId="0" applyFont="1" applyFill="1" applyBorder="1"/>
    <xf numFmtId="0" fontId="24" fillId="2" borderId="5" xfId="0" applyFont="1" applyFill="1" applyBorder="1" applyAlignment="1">
      <alignment wrapText="1"/>
    </xf>
    <xf numFmtId="0" fontId="24" fillId="2" borderId="5" xfId="0" applyFont="1" applyFill="1" applyBorder="1" applyAlignment="1">
      <alignment horizontal="left" vertical="center" wrapText="1"/>
    </xf>
    <xf numFmtId="166" fontId="24" fillId="2" borderId="5" xfId="3" applyNumberFormat="1" applyFont="1" applyFill="1" applyBorder="1" applyAlignment="1">
      <alignment horizontal="center" vertical="center"/>
    </xf>
    <xf numFmtId="0" fontId="36" fillId="2" borderId="5" xfId="7" applyFont="1" applyFill="1" applyBorder="1" applyAlignment="1">
      <alignment horizontal="center" vertical="center"/>
    </xf>
    <xf numFmtId="0" fontId="36" fillId="2" borderId="5" xfId="7" applyFont="1" applyFill="1" applyBorder="1" applyAlignment="1">
      <alignment vertical="center" wrapText="1"/>
    </xf>
    <xf numFmtId="166" fontId="36" fillId="2" borderId="5" xfId="3" applyNumberFormat="1" applyFont="1" applyFill="1" applyBorder="1" applyAlignment="1">
      <alignment horizontal="left" vertical="center" wrapText="1"/>
    </xf>
    <xf numFmtId="166" fontId="37" fillId="2" borderId="5" xfId="3" applyNumberFormat="1" applyFont="1" applyFill="1" applyBorder="1" applyAlignment="1">
      <alignment horizontal="left" vertical="center" wrapText="1"/>
    </xf>
    <xf numFmtId="166" fontId="37" fillId="2" borderId="1" xfId="3" applyNumberFormat="1" applyFont="1" applyFill="1" applyBorder="1" applyAlignment="1">
      <alignment horizontal="left" vertical="center" wrapText="1"/>
    </xf>
    <xf numFmtId="43" fontId="37" fillId="2" borderId="0" xfId="0" applyNumberFormat="1" applyFont="1" applyFill="1" applyAlignment="1">
      <alignment vertical="center"/>
    </xf>
    <xf numFmtId="166" fontId="36" fillId="2" borderId="5" xfId="3" applyNumberFormat="1" applyFont="1" applyFill="1" applyBorder="1" applyAlignment="1">
      <alignment horizontal="center" vertical="center" wrapText="1"/>
    </xf>
    <xf numFmtId="166" fontId="36" fillId="2" borderId="0" xfId="1" applyNumberFormat="1" applyFont="1" applyFill="1" applyAlignment="1">
      <alignment vertical="center" wrapText="1"/>
    </xf>
    <xf numFmtId="3" fontId="44" fillId="2" borderId="0" xfId="0" applyNumberFormat="1" applyFont="1" applyFill="1" applyAlignment="1">
      <alignment horizontal="center" vertical="center"/>
    </xf>
    <xf numFmtId="0" fontId="44" fillId="2" borderId="0" xfId="0" applyFont="1" applyFill="1" applyAlignment="1">
      <alignment horizontal="center" vertical="center" wrapText="1"/>
    </xf>
    <xf numFmtId="0" fontId="37" fillId="2" borderId="5" xfId="16" applyFont="1" applyFill="1" applyBorder="1" applyAlignment="1">
      <alignment horizontal="justify" vertical="center" wrapText="1"/>
    </xf>
    <xf numFmtId="166" fontId="37" fillId="2" borderId="5" xfId="1" applyNumberFormat="1" applyFont="1" applyFill="1" applyBorder="1" applyAlignment="1">
      <alignment vertical="center"/>
    </xf>
    <xf numFmtId="0" fontId="37" fillId="2" borderId="5" xfId="0" applyFont="1" applyFill="1" applyBorder="1" applyAlignment="1">
      <alignment horizontal="justify" vertical="center" wrapText="1"/>
    </xf>
    <xf numFmtId="1" fontId="37" fillId="2" borderId="5" xfId="0" applyNumberFormat="1" applyFont="1" applyFill="1" applyBorder="1" applyAlignment="1">
      <alignment vertical="center"/>
    </xf>
    <xf numFmtId="166" fontId="36" fillId="2" borderId="4" xfId="3" applyNumberFormat="1" applyFont="1" applyFill="1" applyBorder="1" applyAlignment="1">
      <alignment vertical="center" wrapText="1"/>
    </xf>
    <xf numFmtId="3" fontId="42" fillId="2" borderId="0" xfId="0" applyNumberFormat="1" applyFont="1" applyFill="1" applyAlignment="1">
      <alignment horizontal="right" vertical="center" wrapText="1"/>
    </xf>
    <xf numFmtId="166" fontId="42" fillId="2" borderId="0" xfId="1" applyNumberFormat="1" applyFont="1" applyFill="1" applyAlignment="1">
      <alignment horizontal="right" vertical="center" wrapText="1"/>
    </xf>
    <xf numFmtId="3" fontId="40" fillId="2" borderId="0" xfId="0" applyNumberFormat="1" applyFont="1" applyFill="1" applyAlignment="1">
      <alignment horizontal="right" vertical="center" wrapText="1"/>
    </xf>
    <xf numFmtId="166" fontId="40" fillId="2" borderId="0" xfId="1" applyNumberFormat="1" applyFont="1" applyFill="1" applyAlignment="1">
      <alignment horizontal="right" vertical="center" wrapText="1"/>
    </xf>
    <xf numFmtId="166" fontId="36" fillId="2" borderId="5" xfId="3" applyNumberFormat="1" applyFont="1" applyFill="1" applyBorder="1" applyAlignment="1">
      <alignment vertical="center"/>
    </xf>
    <xf numFmtId="3" fontId="44" fillId="2" borderId="0" xfId="0" applyNumberFormat="1" applyFont="1" applyFill="1" applyAlignment="1">
      <alignment horizontal="right" vertical="center" wrapText="1"/>
    </xf>
    <xf numFmtId="166" fontId="44" fillId="2" borderId="0" xfId="1" applyNumberFormat="1" applyFont="1" applyFill="1" applyAlignment="1">
      <alignment horizontal="right" vertical="center" wrapText="1"/>
    </xf>
    <xf numFmtId="166" fontId="36" fillId="2" borderId="5" xfId="1" applyNumberFormat="1" applyFont="1" applyFill="1" applyBorder="1" applyAlignment="1">
      <alignment vertical="center" wrapText="1"/>
    </xf>
    <xf numFmtId="166" fontId="37" fillId="2" borderId="0" xfId="3" applyNumberFormat="1" applyFont="1" applyFill="1" applyBorder="1" applyAlignment="1">
      <alignment horizontal="left" vertical="center" wrapText="1"/>
    </xf>
    <xf numFmtId="0" fontId="40" fillId="2" borderId="0" xfId="0" applyFont="1" applyFill="1" applyAlignment="1">
      <alignment horizontal="right" vertical="center" wrapText="1"/>
    </xf>
    <xf numFmtId="43" fontId="24" fillId="2" borderId="0" xfId="1" applyFont="1" applyFill="1" applyAlignment="1">
      <alignment vertical="center" wrapText="1"/>
    </xf>
    <xf numFmtId="0" fontId="38" fillId="2" borderId="5" xfId="0" applyFont="1" applyFill="1" applyBorder="1" applyAlignment="1">
      <alignment vertical="center"/>
    </xf>
    <xf numFmtId="43" fontId="38" fillId="2" borderId="5" xfId="1" applyFont="1" applyFill="1" applyBorder="1" applyAlignment="1">
      <alignment vertical="center"/>
    </xf>
    <xf numFmtId="0" fontId="24" fillId="2" borderId="0" xfId="7" applyFont="1" applyFill="1" applyAlignment="1">
      <alignment horizontal="center" vertical="center"/>
    </xf>
    <xf numFmtId="166" fontId="38" fillId="2" borderId="0" xfId="3" applyNumberFormat="1" applyFont="1" applyFill="1" applyAlignment="1">
      <alignment vertical="center"/>
    </xf>
    <xf numFmtId="166" fontId="3" fillId="0" borderId="0" xfId="1" applyNumberFormat="1" applyFont="1" applyFill="1" applyBorder="1" applyAlignment="1">
      <alignment horizontal="justify" vertical="center"/>
    </xf>
    <xf numFmtId="166" fontId="3" fillId="0" borderId="0" xfId="1" applyNumberFormat="1" applyFont="1" applyFill="1" applyBorder="1" applyAlignment="1">
      <alignment horizontal="justify" vertical="center" wrapText="1"/>
    </xf>
    <xf numFmtId="43" fontId="3" fillId="0" borderId="0" xfId="1" applyFont="1" applyFill="1" applyBorder="1" applyAlignment="1">
      <alignment horizontal="justify" vertical="center" wrapText="1"/>
    </xf>
    <xf numFmtId="0" fontId="19" fillId="2" borderId="0" xfId="0" applyFont="1" applyFill="1" applyAlignment="1">
      <alignment vertical="center"/>
    </xf>
    <xf numFmtId="0" fontId="36" fillId="2" borderId="6" xfId="0" applyFont="1" applyFill="1" applyBorder="1" applyAlignment="1">
      <alignment vertical="center"/>
    </xf>
    <xf numFmtId="166" fontId="5" fillId="0" borderId="5" xfId="1" applyNumberFormat="1" applyFont="1" applyFill="1" applyBorder="1" applyAlignment="1">
      <alignment horizontal="center" vertical="center" wrapText="1"/>
    </xf>
    <xf numFmtId="49" fontId="8" fillId="0" borderId="5" xfId="1" applyNumberFormat="1" applyFont="1" applyFill="1" applyBorder="1" applyAlignment="1">
      <alignment horizontal="center" vertical="center" wrapText="1"/>
    </xf>
    <xf numFmtId="166" fontId="5" fillId="0" borderId="5" xfId="1" applyNumberFormat="1" applyFont="1" applyFill="1" applyBorder="1" applyAlignment="1">
      <alignment horizontal="justify" vertical="center" wrapText="1"/>
    </xf>
    <xf numFmtId="43" fontId="5" fillId="0" borderId="5" xfId="1" applyFont="1" applyFill="1" applyBorder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166" fontId="6" fillId="0" borderId="0" xfId="1" applyNumberFormat="1" applyFont="1" applyAlignment="1">
      <alignment horizontal="justify" vertical="center"/>
    </xf>
    <xf numFmtId="3" fontId="6" fillId="0" borderId="0" xfId="0" applyNumberFormat="1" applyFont="1" applyAlignment="1">
      <alignment horizontal="justify" vertical="center"/>
    </xf>
    <xf numFmtId="166" fontId="5" fillId="0" borderId="0" xfId="0" applyNumberFormat="1" applyFont="1" applyAlignment="1">
      <alignment horizontal="justify" vertical="center"/>
    </xf>
    <xf numFmtId="43" fontId="5" fillId="0" borderId="0" xfId="0" applyNumberFormat="1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166" fontId="6" fillId="0" borderId="5" xfId="1" applyNumberFormat="1" applyFont="1" applyFill="1" applyBorder="1" applyAlignment="1">
      <alignment horizontal="justify" vertical="center" wrapText="1"/>
    </xf>
    <xf numFmtId="43" fontId="6" fillId="0" borderId="5" xfId="1" applyFont="1" applyFill="1" applyBorder="1" applyAlignment="1">
      <alignment horizontal="justify" vertical="center" wrapText="1"/>
    </xf>
    <xf numFmtId="166" fontId="8" fillId="0" borderId="5" xfId="1" applyNumberFormat="1" applyFont="1" applyFill="1" applyBorder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3" fontId="8" fillId="0" borderId="0" xfId="0" applyNumberFormat="1" applyFont="1" applyAlignment="1">
      <alignment horizontal="justify" vertical="center"/>
    </xf>
    <xf numFmtId="3" fontId="6" fillId="2" borderId="5" xfId="2" applyFill="1" applyBorder="1" applyAlignment="1">
      <alignment horizontal="center" vertical="center" wrapText="1"/>
    </xf>
    <xf numFmtId="3" fontId="6" fillId="2" borderId="5" xfId="2" applyFill="1" applyBorder="1" applyAlignment="1">
      <alignment horizontal="left" vertical="center" wrapText="1"/>
    </xf>
    <xf numFmtId="166" fontId="6" fillId="2" borderId="5" xfId="1" applyNumberFormat="1" applyFont="1" applyFill="1" applyBorder="1" applyAlignment="1">
      <alignment horizontal="justify" vertical="center" wrapText="1"/>
    </xf>
    <xf numFmtId="43" fontId="6" fillId="2" borderId="5" xfId="1" applyFont="1" applyFill="1" applyBorder="1" applyAlignment="1">
      <alignment horizontal="justify" vertical="center" wrapText="1"/>
    </xf>
    <xf numFmtId="0" fontId="6" fillId="2" borderId="0" xfId="0" applyFont="1" applyFill="1" applyAlignment="1">
      <alignment horizontal="justify" vertical="center"/>
    </xf>
    <xf numFmtId="3" fontId="8" fillId="2" borderId="5" xfId="2" applyFont="1" applyFill="1" applyBorder="1" applyAlignment="1">
      <alignment horizontal="center" vertical="center" wrapText="1"/>
    </xf>
    <xf numFmtId="166" fontId="8" fillId="2" borderId="5" xfId="1" applyNumberFormat="1" applyFont="1" applyFill="1" applyBorder="1" applyAlignment="1">
      <alignment horizontal="justify" vertical="center" wrapText="1"/>
    </xf>
    <xf numFmtId="0" fontId="8" fillId="2" borderId="0" xfId="0" applyFont="1" applyFill="1" applyAlignment="1">
      <alignment horizontal="justify" vertical="center"/>
    </xf>
    <xf numFmtId="0" fontId="6" fillId="0" borderId="5" xfId="14" applyFont="1" applyBorder="1" applyAlignment="1">
      <alignment horizontal="left" vertical="center" wrapText="1"/>
    </xf>
    <xf numFmtId="0" fontId="8" fillId="0" borderId="5" xfId="14" applyFont="1" applyBorder="1" applyAlignment="1">
      <alignment horizontal="left" vertical="center" wrapText="1"/>
    </xf>
    <xf numFmtId="172" fontId="5" fillId="0" borderId="0" xfId="0" applyNumberFormat="1" applyFont="1" applyAlignment="1">
      <alignment horizontal="justify" vertical="center"/>
    </xf>
    <xf numFmtId="166" fontId="6" fillId="0" borderId="5" xfId="1" applyNumberFormat="1" applyFont="1" applyFill="1" applyBorder="1" applyAlignment="1">
      <alignment horizontal="justify" vertical="center"/>
    </xf>
    <xf numFmtId="3" fontId="0" fillId="0" borderId="0" xfId="0" applyNumberFormat="1"/>
    <xf numFmtId="3" fontId="34" fillId="0" borderId="0" xfId="0" applyNumberFormat="1" applyFont="1"/>
    <xf numFmtId="166" fontId="4" fillId="0" borderId="6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6" fontId="5" fillId="0" borderId="5" xfId="1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66" fontId="5" fillId="0" borderId="0" xfId="1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36" fillId="2" borderId="6" xfId="0" applyFont="1" applyFill="1" applyBorder="1" applyAlignment="1">
      <alignment horizontal="center" vertical="center"/>
    </xf>
    <xf numFmtId="166" fontId="37" fillId="2" borderId="5" xfId="3" applyNumberFormat="1" applyFont="1" applyFill="1" applyBorder="1" applyAlignment="1">
      <alignment horizontal="center" vertical="center" wrapText="1"/>
    </xf>
    <xf numFmtId="3" fontId="37" fillId="2" borderId="1" xfId="4" applyNumberFormat="1" applyFont="1" applyFill="1" applyBorder="1" applyAlignment="1">
      <alignment horizontal="center" vertical="center" wrapText="1"/>
    </xf>
    <xf numFmtId="3" fontId="37" fillId="2" borderId="4" xfId="4" applyNumberFormat="1" applyFont="1" applyFill="1" applyBorder="1" applyAlignment="1">
      <alignment horizontal="center" vertical="center" wrapText="1"/>
    </xf>
    <xf numFmtId="0" fontId="41" fillId="2" borderId="5" xfId="0" applyFont="1" applyFill="1" applyBorder="1" applyAlignment="1">
      <alignment horizontal="center" vertical="top" wrapText="1"/>
    </xf>
    <xf numFmtId="3" fontId="37" fillId="2" borderId="5" xfId="4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9" fontId="5" fillId="0" borderId="2" xfId="2" applyNumberFormat="1" applyFont="1" applyBorder="1" applyAlignment="1">
      <alignment horizontal="center" vertical="center" wrapText="1"/>
    </xf>
    <xf numFmtId="9" fontId="5" fillId="0" borderId="3" xfId="2" applyNumberFormat="1" applyFont="1" applyBorder="1" applyAlignment="1">
      <alignment horizontal="center" vertical="center" wrapText="1"/>
    </xf>
    <xf numFmtId="9" fontId="5" fillId="0" borderId="2" xfId="2" applyNumberFormat="1" applyFont="1" applyBorder="1" applyAlignment="1">
      <alignment horizontal="center" vertical="top" wrapText="1"/>
    </xf>
    <xf numFmtId="9" fontId="5" fillId="0" borderId="3" xfId="2" applyNumberFormat="1" applyFont="1" applyBorder="1" applyAlignment="1">
      <alignment horizontal="center" vertical="top" wrapText="1"/>
    </xf>
    <xf numFmtId="3" fontId="8" fillId="0" borderId="6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right" vertical="center"/>
    </xf>
  </cellXfs>
  <cellStyles count="17">
    <cellStyle name="Comma" xfId="1" builtinId="3"/>
    <cellStyle name="Comma 10" xfId="13" xr:uid="{99715C7B-0BCD-4684-AC15-8B3794A284C4}"/>
    <cellStyle name="Comma 2 2" xfId="10" xr:uid="{424FEB95-FE1E-4020-AE44-1C958E7A0A1A}"/>
    <cellStyle name="Comma 2 5" xfId="5" xr:uid="{58FD73B3-C45C-4EE0-A147-ECB96C14BB25}"/>
    <cellStyle name="Comma 27" xfId="3" xr:uid="{39043860-4F4E-4C19-A8C5-ABC5F0555A1C}"/>
    <cellStyle name="Comma 5" xfId="6" xr:uid="{50F785A9-0956-47A6-88D3-6883925E9096}"/>
    <cellStyle name="Comma 6" xfId="8" xr:uid="{0F20BB04-6B43-436F-A6D2-BADC30C3772D}"/>
    <cellStyle name="Comma 8" xfId="15" xr:uid="{A8F61262-9677-48BE-AD46-7D7423ECC806}"/>
    <cellStyle name="Normal" xfId="0" builtinId="0"/>
    <cellStyle name="Normal 12" xfId="9" xr:uid="{C75FA691-4371-456C-968D-5EF2F7787D5C}"/>
    <cellStyle name="Normal 14" xfId="2" xr:uid="{97867564-30F0-40B2-B7B4-84F9132FB4AD}"/>
    <cellStyle name="Normal 2 2 4" xfId="16" xr:uid="{C884CFA8-4CDA-49D3-9BD7-575F266E580C}"/>
    <cellStyle name="Normal 2 3" xfId="14" xr:uid="{57F15461-EAD5-48BB-89FF-AB57C6BBD5FB}"/>
    <cellStyle name="Normal 29 2" xfId="7" xr:uid="{8920C581-5787-4306-A974-0E357808AE16}"/>
    <cellStyle name="Normal 3 2 2" xfId="11" xr:uid="{797A33D7-3C83-4484-9ED7-AAFED2B25C5D}"/>
    <cellStyle name="Normal 4 2" xfId="4" xr:uid="{98AFEA7A-20BB-4FC2-9E08-AFCAF39AE1E6}"/>
    <cellStyle name="Normal 5" xfId="12" xr:uid="{F6CE1691-17DC-4219-895D-A68CC1062A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1083742</xdr:colOff>
      <xdr:row>2</xdr:row>
      <xdr:rowOff>9315</xdr:rowOff>
    </xdr:from>
    <xdr:to>
      <xdr:col>1</xdr:col>
      <xdr:colOff>1634075</xdr:colOff>
      <xdr:row>2</xdr:row>
      <xdr:rowOff>9315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F4A4B7E-57FF-4712-BC6D-6177D06C522C}"/>
            </a:ext>
          </a:extLst>
        </xdr:cNvPr>
        <xdr:cNvCxnSpPr/>
      </xdr:nvCxnSpPr>
      <xdr:spPr>
        <a:xfrm>
          <a:off x="1464742" y="436035"/>
          <a:ext cx="55033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1042325</xdr:colOff>
      <xdr:row>2</xdr:row>
      <xdr:rowOff>6350</xdr:rowOff>
    </xdr:from>
    <xdr:to>
      <xdr:col>1</xdr:col>
      <xdr:colOff>1539240</xdr:colOff>
      <xdr:row>2</xdr:row>
      <xdr:rowOff>6350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2B6F834-2E2A-444C-BC7A-7B062FD137C2}"/>
            </a:ext>
          </a:extLst>
        </xdr:cNvPr>
        <xdr:cNvCxnSpPr/>
      </xdr:nvCxnSpPr>
      <xdr:spPr>
        <a:xfrm>
          <a:off x="1423325" y="410210"/>
          <a:ext cx="4969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1501140</xdr:colOff>
      <xdr:row>2</xdr:row>
      <xdr:rowOff>0</xdr:rowOff>
    </xdr:from>
    <xdr:to>
      <xdr:col>1</xdr:col>
      <xdr:colOff>2019300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9398BC1-9E2F-4134-8D37-809CF7BD01DB}"/>
            </a:ext>
          </a:extLst>
        </xdr:cNvPr>
        <xdr:cNvCxnSpPr/>
      </xdr:nvCxnSpPr>
      <xdr:spPr>
        <a:xfrm>
          <a:off x="2011680" y="441960"/>
          <a:ext cx="5181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779432</xdr:colOff>
      <xdr:row>2</xdr:row>
      <xdr:rowOff>10657</xdr:rowOff>
    </xdr:from>
    <xdr:to>
      <xdr:col>1</xdr:col>
      <xdr:colOff>1272491</xdr:colOff>
      <xdr:row>2</xdr:row>
      <xdr:rowOff>10657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3BBEE36-0D05-4AC4-A53F-9B2EABAB135E}"/>
            </a:ext>
          </a:extLst>
        </xdr:cNvPr>
        <xdr:cNvCxnSpPr/>
      </xdr:nvCxnSpPr>
      <xdr:spPr>
        <a:xfrm>
          <a:off x="1137572" y="437377"/>
          <a:ext cx="49305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1392845</xdr:colOff>
      <xdr:row>2</xdr:row>
      <xdr:rowOff>6350</xdr:rowOff>
    </xdr:from>
    <xdr:to>
      <xdr:col>1</xdr:col>
      <xdr:colOff>1889760</xdr:colOff>
      <xdr:row>2</xdr:row>
      <xdr:rowOff>6350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C31669F-0D46-423E-8B1B-46B4AD2FCFC1}"/>
            </a:ext>
          </a:extLst>
        </xdr:cNvPr>
        <xdr:cNvCxnSpPr/>
      </xdr:nvCxnSpPr>
      <xdr:spPr>
        <a:xfrm>
          <a:off x="1850045" y="402590"/>
          <a:ext cx="4969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E1BEC-0867-4788-AB26-D74B065F2703}">
  <dimension ref="A1:N42"/>
  <sheetViews>
    <sheetView workbookViewId="0">
      <selection activeCell="I1" sqref="I1:J1"/>
    </sheetView>
  </sheetViews>
  <sheetFormatPr defaultColWidth="8.6640625" defaultRowHeight="16.8" x14ac:dyDescent="0.3"/>
  <cols>
    <col min="1" max="1" width="5.5546875" style="172" customWidth="1"/>
    <col min="2" max="2" width="35.33203125" style="173" customWidth="1"/>
    <col min="3" max="8" width="11.77734375" style="175" customWidth="1"/>
    <col min="9" max="10" width="12.77734375" style="175" customWidth="1"/>
    <col min="11" max="11" width="8.6640625" style="175"/>
    <col min="12" max="12" width="12.88671875" style="175" customWidth="1"/>
    <col min="13" max="14" width="17.88671875" style="175" bestFit="1" customWidth="1"/>
    <col min="15" max="16384" width="8.6640625" style="175"/>
  </cols>
  <sheetData>
    <row r="1" spans="1:14" s="143" customFormat="1" x14ac:dyDescent="0.3">
      <c r="A1" s="336" t="s">
        <v>0</v>
      </c>
      <c r="B1" s="336"/>
      <c r="C1" s="336"/>
      <c r="I1" s="337"/>
      <c r="J1" s="337"/>
    </row>
    <row r="2" spans="1:14" s="143" customFormat="1" x14ac:dyDescent="0.3">
      <c r="A2" s="336" t="s">
        <v>39</v>
      </c>
      <c r="B2" s="336"/>
      <c r="C2" s="336"/>
      <c r="E2" s="171"/>
      <c r="I2" s="171"/>
    </row>
    <row r="3" spans="1:14" s="143" customFormat="1" ht="9.6" customHeight="1" x14ac:dyDescent="0.3">
      <c r="E3" s="171"/>
      <c r="I3" s="171"/>
    </row>
    <row r="4" spans="1:14" s="172" customFormat="1" x14ac:dyDescent="0.3">
      <c r="A4" s="336" t="s">
        <v>288</v>
      </c>
      <c r="B4" s="336"/>
      <c r="C4" s="336"/>
      <c r="D4" s="336"/>
      <c r="E4" s="336"/>
      <c r="F4" s="336"/>
      <c r="G4" s="336"/>
      <c r="H4" s="336"/>
      <c r="I4" s="336"/>
      <c r="J4" s="336"/>
    </row>
    <row r="5" spans="1:14" s="172" customFormat="1" x14ac:dyDescent="0.3">
      <c r="A5" s="338" t="s">
        <v>287</v>
      </c>
      <c r="B5" s="338"/>
      <c r="C5" s="338"/>
      <c r="D5" s="338"/>
      <c r="E5" s="338"/>
      <c r="F5" s="338"/>
      <c r="G5" s="338"/>
      <c r="H5" s="338"/>
      <c r="I5" s="338"/>
      <c r="J5" s="338"/>
    </row>
    <row r="6" spans="1:14" s="172" customFormat="1" x14ac:dyDescent="0.3">
      <c r="B6" s="173"/>
      <c r="F6" s="174"/>
      <c r="G6" s="174"/>
      <c r="H6" s="335" t="s">
        <v>41</v>
      </c>
      <c r="I6" s="335"/>
      <c r="J6" s="335"/>
    </row>
    <row r="7" spans="1:14" s="60" customFormat="1" ht="15.6" x14ac:dyDescent="0.3">
      <c r="A7" s="339" t="s">
        <v>2</v>
      </c>
      <c r="B7" s="339" t="s">
        <v>3</v>
      </c>
      <c r="C7" s="339" t="s">
        <v>182</v>
      </c>
      <c r="D7" s="339"/>
      <c r="E7" s="339" t="s">
        <v>183</v>
      </c>
      <c r="F7" s="339"/>
      <c r="G7" s="339" t="s">
        <v>184</v>
      </c>
      <c r="H7" s="339"/>
      <c r="I7" s="339" t="s">
        <v>185</v>
      </c>
      <c r="J7" s="339" t="s">
        <v>186</v>
      </c>
    </row>
    <row r="8" spans="1:14" s="60" customFormat="1" ht="57" customHeight="1" x14ac:dyDescent="0.3">
      <c r="A8" s="339"/>
      <c r="B8" s="339"/>
      <c r="C8" s="306" t="s">
        <v>8</v>
      </c>
      <c r="D8" s="306" t="s">
        <v>187</v>
      </c>
      <c r="E8" s="306" t="s">
        <v>8</v>
      </c>
      <c r="F8" s="306" t="s">
        <v>187</v>
      </c>
      <c r="G8" s="306" t="s">
        <v>8</v>
      </c>
      <c r="H8" s="306" t="s">
        <v>187</v>
      </c>
      <c r="I8" s="339"/>
      <c r="J8" s="339"/>
    </row>
    <row r="9" spans="1:14" s="58" customFormat="1" ht="31.2" x14ac:dyDescent="0.3">
      <c r="A9" s="307" t="s">
        <v>188</v>
      </c>
      <c r="B9" s="307" t="s">
        <v>189</v>
      </c>
      <c r="C9" s="307" t="s">
        <v>190</v>
      </c>
      <c r="D9" s="307" t="s">
        <v>191</v>
      </c>
      <c r="E9" s="307" t="s">
        <v>192</v>
      </c>
      <c r="F9" s="307" t="s">
        <v>193</v>
      </c>
      <c r="G9" s="307" t="s">
        <v>194</v>
      </c>
      <c r="H9" s="307" t="s">
        <v>195</v>
      </c>
      <c r="I9" s="307" t="s">
        <v>196</v>
      </c>
      <c r="J9" s="307" t="s">
        <v>197</v>
      </c>
    </row>
    <row r="10" spans="1:14" s="310" customFormat="1" ht="15.6" x14ac:dyDescent="0.3">
      <c r="A10" s="340" t="s">
        <v>10</v>
      </c>
      <c r="B10" s="340"/>
      <c r="C10" s="308">
        <f t="shared" ref="C10:H10" si="0">C11+C36+C34+C35</f>
        <v>481469</v>
      </c>
      <c r="D10" s="308">
        <f t="shared" si="0"/>
        <v>442228.6</v>
      </c>
      <c r="E10" s="308">
        <f t="shared" si="0"/>
        <v>502803.41099999996</v>
      </c>
      <c r="F10" s="308">
        <f t="shared" si="0"/>
        <v>447987.81099999999</v>
      </c>
      <c r="G10" s="308">
        <f t="shared" si="0"/>
        <v>510637.96486300003</v>
      </c>
      <c r="H10" s="308">
        <f t="shared" si="0"/>
        <v>426952.91819400003</v>
      </c>
      <c r="I10" s="309">
        <f>G10/C10*100</f>
        <v>106.05832667586074</v>
      </c>
      <c r="J10" s="309">
        <f>G10/E10*100</f>
        <v>101.5581743662833</v>
      </c>
      <c r="L10" s="311"/>
      <c r="M10" s="312"/>
      <c r="N10" s="312"/>
    </row>
    <row r="11" spans="1:14" s="315" customFormat="1" ht="15.6" x14ac:dyDescent="0.3">
      <c r="A11" s="49" t="s">
        <v>11</v>
      </c>
      <c r="B11" s="50" t="s">
        <v>12</v>
      </c>
      <c r="C11" s="308">
        <f t="shared" ref="C11:H11" si="1">C12+C15+C20+C21+C22+C25+C26+C32+C33</f>
        <v>65399</v>
      </c>
      <c r="D11" s="308">
        <f t="shared" si="1"/>
        <v>26158.6</v>
      </c>
      <c r="E11" s="308">
        <f t="shared" si="1"/>
        <v>86733.410999999993</v>
      </c>
      <c r="F11" s="308">
        <f t="shared" si="1"/>
        <v>31917.810999999998</v>
      </c>
      <c r="G11" s="308">
        <f t="shared" si="1"/>
        <v>122415.50725499999</v>
      </c>
      <c r="H11" s="308">
        <f t="shared" si="1"/>
        <v>38730.460586000001</v>
      </c>
      <c r="I11" s="309">
        <f t="shared" ref="I11:I38" si="2">G11/C11*100</f>
        <v>187.18253682013486</v>
      </c>
      <c r="J11" s="309">
        <f t="shared" ref="J11:J38" si="3">G11/E11*100</f>
        <v>141.1399665291614</v>
      </c>
      <c r="K11" s="313"/>
      <c r="L11" s="314"/>
    </row>
    <row r="12" spans="1:14" s="310" customFormat="1" ht="15.6" x14ac:dyDescent="0.3">
      <c r="A12" s="18">
        <v>1.1000000000000001</v>
      </c>
      <c r="B12" s="19" t="s">
        <v>13</v>
      </c>
      <c r="C12" s="316">
        <f t="shared" ref="C12:H12" si="4">C13+C14</f>
        <v>85</v>
      </c>
      <c r="D12" s="316">
        <f t="shared" si="4"/>
        <v>85</v>
      </c>
      <c r="E12" s="316">
        <f t="shared" si="4"/>
        <v>808.01599999999996</v>
      </c>
      <c r="F12" s="316">
        <f t="shared" si="4"/>
        <v>808.01599999999996</v>
      </c>
      <c r="G12" s="316">
        <f t="shared" si="4"/>
        <v>999.5849750000001</v>
      </c>
      <c r="H12" s="316">
        <f t="shared" si="4"/>
        <v>999.5849750000001</v>
      </c>
      <c r="I12" s="317">
        <f t="shared" si="2"/>
        <v>1175.9823235294118</v>
      </c>
      <c r="J12" s="317">
        <f t="shared" si="3"/>
        <v>123.70856208292906</v>
      </c>
      <c r="N12" s="312"/>
    </row>
    <row r="13" spans="1:14" s="319" customFormat="1" ht="15.6" x14ac:dyDescent="0.3">
      <c r="A13" s="22"/>
      <c r="B13" s="23" t="s">
        <v>14</v>
      </c>
      <c r="C13" s="318">
        <v>61</v>
      </c>
      <c r="D13" s="318">
        <v>61</v>
      </c>
      <c r="E13" s="318">
        <v>743.21600000000001</v>
      </c>
      <c r="F13" s="318">
        <v>743.21600000000001</v>
      </c>
      <c r="G13" s="318">
        <v>980.38497500000005</v>
      </c>
      <c r="H13" s="318">
        <v>980.38497500000005</v>
      </c>
      <c r="I13" s="317">
        <f t="shared" si="2"/>
        <v>1607.1884836065574</v>
      </c>
      <c r="J13" s="317">
        <f t="shared" si="3"/>
        <v>131.91117723515103</v>
      </c>
    </row>
    <row r="14" spans="1:14" s="319" customFormat="1" ht="15.6" x14ac:dyDescent="0.3">
      <c r="A14" s="22"/>
      <c r="B14" s="23" t="s">
        <v>15</v>
      </c>
      <c r="C14" s="318">
        <v>24</v>
      </c>
      <c r="D14" s="318">
        <v>24</v>
      </c>
      <c r="E14" s="318">
        <v>64.8</v>
      </c>
      <c r="F14" s="318">
        <v>64.8</v>
      </c>
      <c r="G14" s="318">
        <v>19.2</v>
      </c>
      <c r="H14" s="318">
        <f>G14</f>
        <v>19.2</v>
      </c>
      <c r="I14" s="317">
        <f t="shared" si="2"/>
        <v>80</v>
      </c>
      <c r="J14" s="317">
        <f t="shared" si="3"/>
        <v>29.629629629629626</v>
      </c>
      <c r="N14" s="320"/>
    </row>
    <row r="15" spans="1:14" s="310" customFormat="1" ht="15.6" x14ac:dyDescent="0.3">
      <c r="A15" s="18">
        <v>2</v>
      </c>
      <c r="B15" s="19" t="s">
        <v>198</v>
      </c>
      <c r="C15" s="316">
        <f>C16+C19</f>
        <v>383</v>
      </c>
      <c r="D15" s="316">
        <f t="shared" ref="D15:H15" si="5">D16+D19</f>
        <v>163</v>
      </c>
      <c r="E15" s="316">
        <f t="shared" si="5"/>
        <v>544.39499999999998</v>
      </c>
      <c r="F15" s="316">
        <f t="shared" si="5"/>
        <v>324.39499999999998</v>
      </c>
      <c r="G15" s="316">
        <f t="shared" si="5"/>
        <v>576.63530300000002</v>
      </c>
      <c r="H15" s="316">
        <f t="shared" si="5"/>
        <v>213.444299</v>
      </c>
      <c r="I15" s="317">
        <f t="shared" si="2"/>
        <v>150.55752036553525</v>
      </c>
      <c r="J15" s="317">
        <f t="shared" si="3"/>
        <v>105.92222614094547</v>
      </c>
    </row>
    <row r="16" spans="1:14" s="310" customFormat="1" ht="15.6" x14ac:dyDescent="0.3">
      <c r="A16" s="18" t="s">
        <v>17</v>
      </c>
      <c r="B16" s="19" t="s">
        <v>199</v>
      </c>
      <c r="C16" s="316">
        <f>SUM(C17:C18)</f>
        <v>332</v>
      </c>
      <c r="D16" s="316">
        <f t="shared" ref="D16:H16" si="6">SUM(D17:D18)</f>
        <v>112</v>
      </c>
      <c r="E16" s="316">
        <f t="shared" si="6"/>
        <v>462</v>
      </c>
      <c r="F16" s="316">
        <f t="shared" si="6"/>
        <v>242</v>
      </c>
      <c r="G16" s="316">
        <f t="shared" si="6"/>
        <v>319.25</v>
      </c>
      <c r="H16" s="316">
        <f t="shared" si="6"/>
        <v>138.75</v>
      </c>
      <c r="I16" s="317">
        <f t="shared" si="2"/>
        <v>96.159638554216869</v>
      </c>
      <c r="J16" s="317">
        <f t="shared" si="3"/>
        <v>69.101731601731601</v>
      </c>
    </row>
    <row r="17" spans="1:10" s="319" customFormat="1" ht="15.6" x14ac:dyDescent="0.3">
      <c r="A17" s="22"/>
      <c r="B17" s="176" t="s">
        <v>19</v>
      </c>
      <c r="C17" s="318">
        <v>220</v>
      </c>
      <c r="D17" s="318">
        <v>0</v>
      </c>
      <c r="E17" s="318">
        <v>220</v>
      </c>
      <c r="F17" s="318">
        <v>0</v>
      </c>
      <c r="G17" s="318">
        <v>180.5</v>
      </c>
      <c r="H17" s="318">
        <v>0</v>
      </c>
      <c r="I17" s="317">
        <f t="shared" si="2"/>
        <v>82.045454545454547</v>
      </c>
      <c r="J17" s="317">
        <f t="shared" si="3"/>
        <v>82.045454545454547</v>
      </c>
    </row>
    <row r="18" spans="1:10" s="319" customFormat="1" ht="15.6" x14ac:dyDescent="0.3">
      <c r="A18" s="22"/>
      <c r="B18" s="176" t="s">
        <v>20</v>
      </c>
      <c r="C18" s="318">
        <v>112</v>
      </c>
      <c r="D18" s="318">
        <v>112</v>
      </c>
      <c r="E18" s="318">
        <v>242</v>
      </c>
      <c r="F18" s="318">
        <v>242</v>
      </c>
      <c r="G18" s="318">
        <v>138.75</v>
      </c>
      <c r="H18" s="318">
        <f>G18</f>
        <v>138.75</v>
      </c>
      <c r="I18" s="317">
        <f t="shared" si="2"/>
        <v>123.88392857142858</v>
      </c>
      <c r="J18" s="317">
        <f t="shared" si="3"/>
        <v>57.334710743801651</v>
      </c>
    </row>
    <row r="19" spans="1:10" s="310" customFormat="1" ht="15.6" x14ac:dyDescent="0.3">
      <c r="A19" s="18" t="s">
        <v>21</v>
      </c>
      <c r="B19" s="19" t="s">
        <v>200</v>
      </c>
      <c r="C19" s="316">
        <v>51</v>
      </c>
      <c r="D19" s="316">
        <v>51</v>
      </c>
      <c r="E19" s="316">
        <v>82.394999999999996</v>
      </c>
      <c r="F19" s="316">
        <v>82.394999999999996</v>
      </c>
      <c r="G19" s="316">
        <f>74.694299+182.691004</f>
        <v>257.38530300000002</v>
      </c>
      <c r="H19" s="316">
        <f>74.694299</f>
        <v>74.694299000000001</v>
      </c>
      <c r="I19" s="317">
        <f t="shared" si="2"/>
        <v>504.6770647058824</v>
      </c>
      <c r="J19" s="317">
        <f t="shared" si="3"/>
        <v>312.37975969415623</v>
      </c>
    </row>
    <row r="20" spans="1:10" s="310" customFormat="1" ht="15.6" x14ac:dyDescent="0.3">
      <c r="A20" s="18">
        <v>3</v>
      </c>
      <c r="B20" s="19" t="s">
        <v>201</v>
      </c>
      <c r="C20" s="316">
        <v>38820</v>
      </c>
      <c r="D20" s="316">
        <v>21834</v>
      </c>
      <c r="E20" s="316">
        <v>56344</v>
      </c>
      <c r="F20" s="316">
        <f>E20*45%</f>
        <v>25354.799999999999</v>
      </c>
      <c r="G20" s="316">
        <v>67616.053400000004</v>
      </c>
      <c r="H20" s="316">
        <v>30427.224048</v>
      </c>
      <c r="I20" s="317">
        <f t="shared" si="2"/>
        <v>174.1783961875322</v>
      </c>
      <c r="J20" s="317">
        <f t="shared" si="3"/>
        <v>120.00577417293768</v>
      </c>
    </row>
    <row r="21" spans="1:10" s="310" customFormat="1" ht="15.6" x14ac:dyDescent="0.3">
      <c r="A21" s="18">
        <v>4</v>
      </c>
      <c r="B21" s="19" t="s">
        <v>202</v>
      </c>
      <c r="C21" s="316">
        <v>1047</v>
      </c>
      <c r="D21" s="316">
        <v>14.1</v>
      </c>
      <c r="E21" s="316">
        <v>1552</v>
      </c>
      <c r="F21" s="316">
        <v>165.6</v>
      </c>
      <c r="G21" s="316">
        <v>750.109647</v>
      </c>
      <c r="H21" s="316">
        <v>195.08898400000001</v>
      </c>
      <c r="I21" s="317">
        <f t="shared" si="2"/>
        <v>71.643710315186254</v>
      </c>
      <c r="J21" s="317">
        <f t="shared" si="3"/>
        <v>48.331807152061856</v>
      </c>
    </row>
    <row r="22" spans="1:10" s="325" customFormat="1" ht="15.6" x14ac:dyDescent="0.3">
      <c r="A22" s="321">
        <v>5</v>
      </c>
      <c r="B22" s="322" t="s">
        <v>25</v>
      </c>
      <c r="C22" s="323">
        <f>SUM(C23:C24)</f>
        <v>8025</v>
      </c>
      <c r="D22" s="323">
        <f t="shared" ref="D22:H22" si="7">SUM(D23:D24)</f>
        <v>436</v>
      </c>
      <c r="E22" s="323">
        <f t="shared" si="7"/>
        <v>8545</v>
      </c>
      <c r="F22" s="323">
        <f t="shared" si="7"/>
        <v>852</v>
      </c>
      <c r="G22" s="323">
        <f t="shared" si="7"/>
        <v>10581.072193999998</v>
      </c>
      <c r="H22" s="323">
        <f t="shared" si="7"/>
        <v>1161.9246069999999</v>
      </c>
      <c r="I22" s="324">
        <f t="shared" si="2"/>
        <v>131.85136690342679</v>
      </c>
      <c r="J22" s="324">
        <f t="shared" si="3"/>
        <v>123.82764416617904</v>
      </c>
    </row>
    <row r="23" spans="1:10" s="328" customFormat="1" ht="15.6" x14ac:dyDescent="0.3">
      <c r="A23" s="326"/>
      <c r="B23" s="177" t="s">
        <v>26</v>
      </c>
      <c r="C23" s="327">
        <v>545</v>
      </c>
      <c r="D23" s="327">
        <v>436</v>
      </c>
      <c r="E23" s="327">
        <v>1065</v>
      </c>
      <c r="F23" s="327">
        <v>852</v>
      </c>
      <c r="G23" s="327">
        <v>1452.4057</v>
      </c>
      <c r="H23" s="327">
        <v>1161.9246069999999</v>
      </c>
      <c r="I23" s="324">
        <f t="shared" si="2"/>
        <v>266.4964587155963</v>
      </c>
      <c r="J23" s="324">
        <f t="shared" si="3"/>
        <v>136.37612206572771</v>
      </c>
    </row>
    <row r="24" spans="1:10" s="328" customFormat="1" ht="15.6" x14ac:dyDescent="0.3">
      <c r="A24" s="326"/>
      <c r="B24" s="177" t="s">
        <v>27</v>
      </c>
      <c r="C24" s="327">
        <v>7480</v>
      </c>
      <c r="D24" s="327">
        <v>0</v>
      </c>
      <c r="E24" s="327">
        <v>7480</v>
      </c>
      <c r="F24" s="327">
        <v>0</v>
      </c>
      <c r="G24" s="327">
        <v>9128.6664939999991</v>
      </c>
      <c r="H24" s="327">
        <v>0</v>
      </c>
      <c r="I24" s="324">
        <f t="shared" si="2"/>
        <v>122.0409959090909</v>
      </c>
      <c r="J24" s="324">
        <f t="shared" si="3"/>
        <v>122.0409959090909</v>
      </c>
    </row>
    <row r="25" spans="1:10" s="310" customFormat="1" ht="15.6" x14ac:dyDescent="0.3">
      <c r="A25" s="18">
        <v>6</v>
      </c>
      <c r="B25" s="19" t="s">
        <v>203</v>
      </c>
      <c r="C25" s="316">
        <v>208</v>
      </c>
      <c r="D25" s="316">
        <v>208</v>
      </c>
      <c r="E25" s="316">
        <v>490</v>
      </c>
      <c r="F25" s="316">
        <v>490</v>
      </c>
      <c r="G25" s="316">
        <v>407.66678000000002</v>
      </c>
      <c r="H25" s="316">
        <v>407.66678000000002</v>
      </c>
      <c r="I25" s="317">
        <f t="shared" si="2"/>
        <v>195.99364423076923</v>
      </c>
      <c r="J25" s="317">
        <f t="shared" si="3"/>
        <v>83.197302040816339</v>
      </c>
    </row>
    <row r="26" spans="1:10" s="310" customFormat="1" ht="15.6" x14ac:dyDescent="0.3">
      <c r="A26" s="18">
        <v>7</v>
      </c>
      <c r="B26" s="329" t="s">
        <v>204</v>
      </c>
      <c r="C26" s="316">
        <f>C27+C30+C31</f>
        <v>14531</v>
      </c>
      <c r="D26" s="316">
        <f t="shared" ref="D26:H26" si="8">D27+D30+D31</f>
        <v>3418.5</v>
      </c>
      <c r="E26" s="316">
        <f t="shared" si="8"/>
        <v>16150</v>
      </c>
      <c r="F26" s="316">
        <f t="shared" si="8"/>
        <v>3923</v>
      </c>
      <c r="G26" s="316">
        <f t="shared" si="8"/>
        <v>32936.182832999999</v>
      </c>
      <c r="H26" s="316">
        <f t="shared" si="8"/>
        <v>5295.5268930000002</v>
      </c>
      <c r="I26" s="317">
        <f t="shared" si="2"/>
        <v>226.6615018443328</v>
      </c>
      <c r="J26" s="317">
        <f t="shared" si="3"/>
        <v>203.93921258823528</v>
      </c>
    </row>
    <row r="27" spans="1:10" s="310" customFormat="1" ht="15.6" x14ac:dyDescent="0.3">
      <c r="A27" s="18" t="s">
        <v>30</v>
      </c>
      <c r="B27" s="329" t="s">
        <v>31</v>
      </c>
      <c r="C27" s="316">
        <f>SUM(C28:C29)</f>
        <v>14490</v>
      </c>
      <c r="D27" s="316">
        <f t="shared" ref="D27:H27" si="9">SUM(D28:D29)</f>
        <v>3398</v>
      </c>
      <c r="E27" s="316">
        <f t="shared" si="9"/>
        <v>16090</v>
      </c>
      <c r="F27" s="316">
        <f t="shared" si="9"/>
        <v>3893</v>
      </c>
      <c r="G27" s="316">
        <f t="shared" si="9"/>
        <v>32675.804378000001</v>
      </c>
      <c r="H27" s="316">
        <f t="shared" si="9"/>
        <v>5217.9231259999997</v>
      </c>
      <c r="I27" s="317">
        <f t="shared" si="2"/>
        <v>225.50589632850242</v>
      </c>
      <c r="J27" s="317">
        <f t="shared" si="3"/>
        <v>203.08144423865758</v>
      </c>
    </row>
    <row r="28" spans="1:10" s="319" customFormat="1" ht="15.6" x14ac:dyDescent="0.3">
      <c r="A28" s="22"/>
      <c r="B28" s="330" t="s">
        <v>19</v>
      </c>
      <c r="C28" s="318">
        <v>13490</v>
      </c>
      <c r="D28" s="318">
        <v>2698</v>
      </c>
      <c r="E28" s="318">
        <v>14740</v>
      </c>
      <c r="F28" s="318">
        <v>2948</v>
      </c>
      <c r="G28" s="318">
        <v>30739.282202999999</v>
      </c>
      <c r="H28" s="318">
        <v>3876.5395140000001</v>
      </c>
      <c r="I28" s="317">
        <f t="shared" si="2"/>
        <v>227.86717719051146</v>
      </c>
      <c r="J28" s="317">
        <f t="shared" si="3"/>
        <v>208.54329852781547</v>
      </c>
    </row>
    <row r="29" spans="1:10" s="319" customFormat="1" ht="15.6" x14ac:dyDescent="0.3">
      <c r="A29" s="22"/>
      <c r="B29" s="330" t="s">
        <v>32</v>
      </c>
      <c r="C29" s="318">
        <v>1000</v>
      </c>
      <c r="D29" s="318">
        <v>700</v>
      </c>
      <c r="E29" s="318">
        <v>1350</v>
      </c>
      <c r="F29" s="318">
        <v>945</v>
      </c>
      <c r="G29" s="318">
        <v>1936.5221750000001</v>
      </c>
      <c r="H29" s="318">
        <v>1341.3836120000001</v>
      </c>
      <c r="I29" s="317">
        <f t="shared" si="2"/>
        <v>193.65221750000001</v>
      </c>
      <c r="J29" s="317">
        <f t="shared" si="3"/>
        <v>143.44608703703705</v>
      </c>
    </row>
    <row r="30" spans="1:10" s="310" customFormat="1" ht="15.6" x14ac:dyDescent="0.3">
      <c r="A30" s="18" t="s">
        <v>205</v>
      </c>
      <c r="B30" s="19" t="s">
        <v>206</v>
      </c>
      <c r="C30" s="316">
        <v>41</v>
      </c>
      <c r="D30" s="316">
        <v>20.5</v>
      </c>
      <c r="E30" s="316">
        <v>60</v>
      </c>
      <c r="F30" s="316">
        <v>30</v>
      </c>
      <c r="G30" s="316">
        <v>85.093558999999999</v>
      </c>
      <c r="H30" s="316">
        <v>42.546784000000002</v>
      </c>
      <c r="I30" s="317">
        <f t="shared" si="2"/>
        <v>207.54526585365855</v>
      </c>
      <c r="J30" s="317">
        <f t="shared" si="3"/>
        <v>141.82259833333333</v>
      </c>
    </row>
    <row r="31" spans="1:10" s="310" customFormat="1" ht="15.6" x14ac:dyDescent="0.3">
      <c r="A31" s="18" t="s">
        <v>207</v>
      </c>
      <c r="B31" s="19" t="s">
        <v>208</v>
      </c>
      <c r="C31" s="316">
        <v>0</v>
      </c>
      <c r="D31" s="316">
        <v>0</v>
      </c>
      <c r="E31" s="316">
        <v>0</v>
      </c>
      <c r="F31" s="316">
        <v>0</v>
      </c>
      <c r="G31" s="316">
        <v>175.284896</v>
      </c>
      <c r="H31" s="316">
        <v>35.056983000000002</v>
      </c>
      <c r="I31" s="317"/>
      <c r="J31" s="317"/>
    </row>
    <row r="32" spans="1:10" s="310" customFormat="1" ht="15.6" x14ac:dyDescent="0.3">
      <c r="A32" s="18">
        <v>8</v>
      </c>
      <c r="B32" s="19" t="s">
        <v>209</v>
      </c>
      <c r="C32" s="316">
        <v>2300</v>
      </c>
      <c r="D32" s="316">
        <v>0</v>
      </c>
      <c r="E32" s="316">
        <v>2300</v>
      </c>
      <c r="F32" s="316">
        <v>0</v>
      </c>
      <c r="G32" s="316">
        <f>8499.329968+18.872155</f>
        <v>8518.2021229999991</v>
      </c>
      <c r="H32" s="316">
        <v>0</v>
      </c>
      <c r="I32" s="317">
        <f t="shared" si="2"/>
        <v>370.35661404347826</v>
      </c>
      <c r="J32" s="317">
        <f t="shared" si="3"/>
        <v>370.35661404347826</v>
      </c>
    </row>
    <row r="33" spans="1:12" s="310" customFormat="1" ht="15.6" x14ac:dyDescent="0.3">
      <c r="A33" s="18">
        <v>9</v>
      </c>
      <c r="B33" s="19" t="s">
        <v>210</v>
      </c>
      <c r="C33" s="316">
        <v>0</v>
      </c>
      <c r="D33" s="316">
        <v>0</v>
      </c>
      <c r="E33" s="316">
        <v>0</v>
      </c>
      <c r="F33" s="316">
        <v>0</v>
      </c>
      <c r="G33" s="316">
        <v>30</v>
      </c>
      <c r="H33" s="316">
        <v>30</v>
      </c>
      <c r="I33" s="317"/>
      <c r="J33" s="317"/>
    </row>
    <row r="34" spans="1:12" s="315" customFormat="1" ht="15.6" x14ac:dyDescent="0.3">
      <c r="A34" s="49" t="s">
        <v>46</v>
      </c>
      <c r="B34" s="50" t="s">
        <v>211</v>
      </c>
      <c r="C34" s="308">
        <v>2900</v>
      </c>
      <c r="D34" s="308">
        <v>2900</v>
      </c>
      <c r="E34" s="308">
        <v>2900</v>
      </c>
      <c r="F34" s="308">
        <v>2900</v>
      </c>
      <c r="G34" s="308">
        <v>2899.9439929999999</v>
      </c>
      <c r="H34" s="308">
        <f>G34</f>
        <v>2899.9439929999999</v>
      </c>
      <c r="I34" s="309">
        <f t="shared" si="2"/>
        <v>99.998068724137923</v>
      </c>
      <c r="J34" s="309">
        <f t="shared" si="3"/>
        <v>99.998068724137923</v>
      </c>
    </row>
    <row r="35" spans="1:12" s="315" customFormat="1" ht="15.6" x14ac:dyDescent="0.3">
      <c r="A35" s="49" t="s">
        <v>157</v>
      </c>
      <c r="B35" s="50" t="s">
        <v>212</v>
      </c>
      <c r="C35" s="308">
        <v>904</v>
      </c>
      <c r="D35" s="308">
        <v>904</v>
      </c>
      <c r="E35" s="308">
        <v>904</v>
      </c>
      <c r="F35" s="308">
        <v>904</v>
      </c>
      <c r="G35" s="308">
        <v>897.32103700000005</v>
      </c>
      <c r="H35" s="308">
        <f>G35</f>
        <v>897.32103700000005</v>
      </c>
      <c r="I35" s="309">
        <f t="shared" si="2"/>
        <v>99.261176659292033</v>
      </c>
      <c r="J35" s="309">
        <f t="shared" si="3"/>
        <v>99.261176659292033</v>
      </c>
      <c r="L35" s="331"/>
    </row>
    <row r="36" spans="1:12" s="315" customFormat="1" ht="15.6" x14ac:dyDescent="0.3">
      <c r="A36" s="49" t="s">
        <v>34</v>
      </c>
      <c r="B36" s="50" t="s">
        <v>35</v>
      </c>
      <c r="C36" s="308">
        <f>C37+C38</f>
        <v>412266</v>
      </c>
      <c r="D36" s="308">
        <f t="shared" ref="D36:H36" si="10">D37+D38</f>
        <v>412266</v>
      </c>
      <c r="E36" s="308">
        <f t="shared" si="10"/>
        <v>412266</v>
      </c>
      <c r="F36" s="308">
        <f t="shared" si="10"/>
        <v>412266</v>
      </c>
      <c r="G36" s="308">
        <f t="shared" si="10"/>
        <v>384425.19257800002</v>
      </c>
      <c r="H36" s="308">
        <f t="shared" si="10"/>
        <v>384425.19257800002</v>
      </c>
      <c r="I36" s="309">
        <f t="shared" si="2"/>
        <v>93.246882492856557</v>
      </c>
      <c r="J36" s="309">
        <f t="shared" si="3"/>
        <v>93.246882492856557</v>
      </c>
    </row>
    <row r="37" spans="1:12" s="310" customFormat="1" ht="15.6" x14ac:dyDescent="0.3">
      <c r="A37" s="51">
        <v>1</v>
      </c>
      <c r="B37" s="52" t="s">
        <v>213</v>
      </c>
      <c r="C37" s="316">
        <f>27715+327058</f>
        <v>354773</v>
      </c>
      <c r="D37" s="316">
        <f>27715+327058</f>
        <v>354773</v>
      </c>
      <c r="E37" s="316">
        <f>27715+327058</f>
        <v>354773</v>
      </c>
      <c r="F37" s="316">
        <f>27715+327058</f>
        <v>354773</v>
      </c>
      <c r="G37" s="316">
        <v>326932.63706500002</v>
      </c>
      <c r="H37" s="316">
        <f>G37</f>
        <v>326932.63706500002</v>
      </c>
      <c r="I37" s="317">
        <f t="shared" si="2"/>
        <v>92.152626345578724</v>
      </c>
      <c r="J37" s="317">
        <f t="shared" si="3"/>
        <v>92.152626345578724</v>
      </c>
    </row>
    <row r="38" spans="1:12" s="310" customFormat="1" ht="15.6" x14ac:dyDescent="0.3">
      <c r="A38" s="51">
        <v>2</v>
      </c>
      <c r="B38" s="52" t="s">
        <v>214</v>
      </c>
      <c r="C38" s="332">
        <v>57493</v>
      </c>
      <c r="D38" s="332">
        <v>57493</v>
      </c>
      <c r="E38" s="332">
        <v>57493</v>
      </c>
      <c r="F38" s="332">
        <v>57493</v>
      </c>
      <c r="G38" s="316">
        <v>57492.555512999999</v>
      </c>
      <c r="H38" s="316">
        <f>G38</f>
        <v>57492.555512999999</v>
      </c>
      <c r="I38" s="317">
        <f t="shared" si="2"/>
        <v>99.999226885012078</v>
      </c>
      <c r="J38" s="317">
        <f t="shared" si="3"/>
        <v>99.999226885012078</v>
      </c>
    </row>
    <row r="39" spans="1:12" x14ac:dyDescent="0.3">
      <c r="C39" s="301"/>
      <c r="D39" s="301"/>
      <c r="E39" s="301"/>
      <c r="F39" s="301"/>
      <c r="G39" s="302"/>
      <c r="H39" s="302"/>
      <c r="I39" s="303"/>
      <c r="J39" s="303"/>
    </row>
    <row r="40" spans="1:12" x14ac:dyDescent="0.3">
      <c r="A40" s="175"/>
      <c r="B40" s="175"/>
      <c r="D40" s="178"/>
      <c r="E40" s="178"/>
      <c r="F40" s="178"/>
      <c r="G40" s="179"/>
      <c r="H40" s="341" t="s">
        <v>215</v>
      </c>
      <c r="I40" s="341"/>
      <c r="J40" s="341"/>
    </row>
    <row r="41" spans="1:12" x14ac:dyDescent="0.3">
      <c r="A41" s="175"/>
      <c r="B41" s="175"/>
      <c r="D41" s="178"/>
    </row>
    <row r="42" spans="1:12" x14ac:dyDescent="0.3">
      <c r="G42" s="178"/>
    </row>
  </sheetData>
  <mergeCells count="15">
    <mergeCell ref="J7:J8"/>
    <mergeCell ref="A10:B10"/>
    <mergeCell ref="H40:J40"/>
    <mergeCell ref="A7:A8"/>
    <mergeCell ref="B7:B8"/>
    <mergeCell ref="C7:D7"/>
    <mergeCell ref="E7:F7"/>
    <mergeCell ref="G7:H7"/>
    <mergeCell ref="I7:I8"/>
    <mergeCell ref="H6:J6"/>
    <mergeCell ref="A1:C1"/>
    <mergeCell ref="I1:J1"/>
    <mergeCell ref="A2:C2"/>
    <mergeCell ref="A4:J4"/>
    <mergeCell ref="A5:J5"/>
  </mergeCells>
  <pageMargins left="0.45" right="0.45" top="0.75" bottom="0.2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98B5F-D027-4B55-A7B2-F8E4F0EF3AAE}">
  <dimension ref="A1:GT122"/>
  <sheetViews>
    <sheetView topLeftCell="A19" workbookViewId="0">
      <selection activeCell="A4" sqref="A4:G4"/>
    </sheetView>
  </sheetViews>
  <sheetFormatPr defaultColWidth="8.88671875" defaultRowHeight="15.6" x14ac:dyDescent="0.3"/>
  <cols>
    <col min="1" max="1" width="5.5546875" style="181" customWidth="1"/>
    <col min="2" max="2" width="45.44140625" style="181" customWidth="1"/>
    <col min="3" max="3" width="15.33203125" style="181" customWidth="1"/>
    <col min="4" max="4" width="15.77734375" style="181" customWidth="1"/>
    <col min="5" max="5" width="13.5546875" style="181" hidden="1" customWidth="1"/>
    <col min="6" max="6" width="0.88671875" style="181" hidden="1" customWidth="1"/>
    <col min="7" max="7" width="11.109375" style="181" customWidth="1"/>
    <col min="8" max="8" width="14.77734375" style="181" customWidth="1"/>
    <col min="9" max="9" width="16.77734375" style="182" customWidth="1"/>
    <col min="10" max="10" width="15.21875" style="182" customWidth="1"/>
    <col min="11" max="11" width="14.33203125" style="182" customWidth="1"/>
    <col min="12" max="12" width="14.88671875" style="183" customWidth="1"/>
    <col min="13" max="13" width="13.5546875" style="181" customWidth="1"/>
    <col min="14" max="14" width="16.21875" style="181" customWidth="1"/>
    <col min="15" max="15" width="12.5546875" style="181" bestFit="1" customWidth="1"/>
    <col min="16" max="16" width="9.77734375" style="181" bestFit="1" customWidth="1"/>
    <col min="17" max="16384" width="8.88671875" style="181"/>
  </cols>
  <sheetData>
    <row r="1" spans="1:202" ht="16.2" customHeight="1" x14ac:dyDescent="0.3">
      <c r="A1" s="342" t="s">
        <v>38</v>
      </c>
      <c r="B1" s="342"/>
      <c r="C1" s="304"/>
      <c r="D1" s="343"/>
      <c r="E1" s="343"/>
      <c r="F1" s="343"/>
      <c r="G1" s="343"/>
    </row>
    <row r="2" spans="1:202" x14ac:dyDescent="0.3">
      <c r="A2" s="342" t="s">
        <v>39</v>
      </c>
      <c r="B2" s="342"/>
    </row>
    <row r="3" spans="1:202" ht="6.6" customHeight="1" x14ac:dyDescent="0.3">
      <c r="A3" s="180"/>
      <c r="B3" s="180"/>
    </row>
    <row r="4" spans="1:202" x14ac:dyDescent="0.3">
      <c r="A4" s="342" t="s">
        <v>289</v>
      </c>
      <c r="B4" s="342"/>
      <c r="C4" s="342"/>
      <c r="D4" s="342"/>
      <c r="E4" s="342"/>
      <c r="F4" s="342"/>
      <c r="G4" s="342"/>
    </row>
    <row r="5" spans="1:202" x14ac:dyDescent="0.3">
      <c r="A5" s="343" t="s">
        <v>286</v>
      </c>
      <c r="B5" s="343"/>
      <c r="C5" s="343"/>
      <c r="D5" s="343"/>
      <c r="E5" s="343"/>
      <c r="F5" s="343"/>
      <c r="G5" s="343"/>
    </row>
    <row r="6" spans="1:202" ht="18.600000000000001" customHeight="1" x14ac:dyDescent="0.3">
      <c r="A6" s="184"/>
      <c r="B6" s="185"/>
      <c r="C6" s="305"/>
      <c r="D6" s="344" t="s">
        <v>41</v>
      </c>
      <c r="E6" s="344"/>
      <c r="F6" s="344"/>
      <c r="G6" s="344"/>
    </row>
    <row r="7" spans="1:202" s="192" customFormat="1" ht="14.4" customHeight="1" x14ac:dyDescent="0.3">
      <c r="A7" s="345" t="s">
        <v>2</v>
      </c>
      <c r="B7" s="345" t="s">
        <v>3</v>
      </c>
      <c r="C7" s="346" t="s">
        <v>216</v>
      </c>
      <c r="D7" s="346" t="s">
        <v>217</v>
      </c>
      <c r="E7" s="348" t="s">
        <v>218</v>
      </c>
      <c r="F7" s="348"/>
      <c r="G7" s="349" t="s">
        <v>219</v>
      </c>
      <c r="H7" s="188"/>
      <c r="I7" s="189"/>
      <c r="J7" s="189"/>
      <c r="K7" s="189"/>
      <c r="L7" s="190"/>
      <c r="M7" s="191"/>
      <c r="N7" s="188"/>
      <c r="O7" s="191"/>
    </row>
    <row r="8" spans="1:202" s="192" customFormat="1" ht="40.200000000000003" customHeight="1" x14ac:dyDescent="0.3">
      <c r="A8" s="345"/>
      <c r="B8" s="345"/>
      <c r="C8" s="347"/>
      <c r="D8" s="347"/>
      <c r="E8" s="187" t="s">
        <v>220</v>
      </c>
      <c r="F8" s="187" t="s">
        <v>221</v>
      </c>
      <c r="G8" s="349"/>
      <c r="I8" s="189"/>
      <c r="J8" s="193"/>
      <c r="K8" s="193"/>
      <c r="L8" s="190"/>
      <c r="M8" s="191"/>
      <c r="N8" s="188"/>
      <c r="O8" s="191"/>
    </row>
    <row r="9" spans="1:202" s="199" customFormat="1" ht="13.8" x14ac:dyDescent="0.3">
      <c r="A9" s="186"/>
      <c r="B9" s="186" t="s">
        <v>10</v>
      </c>
      <c r="C9" s="194">
        <f>C10+C12+C91+C92+C97+C98+C99+C102+C105+1</f>
        <v>447988.20108932402</v>
      </c>
      <c r="D9" s="194">
        <f>D10+D12+D91+D92+D97+D98+D99+D102+D105+1</f>
        <v>419686.90976432402</v>
      </c>
      <c r="E9" s="194">
        <f t="shared" ref="E9:F9" si="0">E10+E12+E91+E92+E97+E98+E99+E102+E105</f>
        <v>314658.81552945584</v>
      </c>
      <c r="F9" s="194">
        <f t="shared" si="0"/>
        <v>105052.84423486816</v>
      </c>
      <c r="G9" s="195">
        <f>D9/C9*100</f>
        <v>93.682581091157573</v>
      </c>
      <c r="H9" s="196"/>
      <c r="I9" s="197"/>
      <c r="J9" s="197"/>
      <c r="K9" s="197"/>
      <c r="L9" s="183"/>
      <c r="M9" s="198"/>
      <c r="N9" s="198"/>
      <c r="O9" s="198"/>
    </row>
    <row r="10" spans="1:202" s="205" customFormat="1" ht="15.6" customHeight="1" x14ac:dyDescent="0.3">
      <c r="A10" s="200" t="s">
        <v>11</v>
      </c>
      <c r="B10" s="201" t="s">
        <v>43</v>
      </c>
      <c r="C10" s="202">
        <f t="shared" ref="C10:F10" si="1">C11</f>
        <v>25354.799999999999</v>
      </c>
      <c r="D10" s="202">
        <f t="shared" si="1"/>
        <v>10174.964</v>
      </c>
      <c r="E10" s="202">
        <f t="shared" si="1"/>
        <v>10174.964</v>
      </c>
      <c r="F10" s="202">
        <f t="shared" si="1"/>
        <v>0</v>
      </c>
      <c r="G10" s="195">
        <f t="shared" ref="G10:G73" si="2">D10/C10*100</f>
        <v>40.130326407623009</v>
      </c>
      <c r="H10" s="196"/>
      <c r="I10" s="197"/>
      <c r="J10" s="203"/>
      <c r="K10" s="203"/>
      <c r="L10" s="204"/>
    </row>
    <row r="11" spans="1:202" s="199" customFormat="1" ht="15.6" customHeight="1" x14ac:dyDescent="0.35">
      <c r="A11" s="206">
        <v>1</v>
      </c>
      <c r="B11" s="207" t="s">
        <v>44</v>
      </c>
      <c r="C11" s="208">
        <f>25354.8</f>
        <v>25354.799999999999</v>
      </c>
      <c r="D11" s="208">
        <f>E11+F11</f>
        <v>10174.964</v>
      </c>
      <c r="E11" s="209">
        <v>10174.964</v>
      </c>
      <c r="F11" s="210"/>
      <c r="G11" s="211">
        <f t="shared" si="2"/>
        <v>40.130326407623009</v>
      </c>
      <c r="H11" s="212"/>
      <c r="I11" s="213"/>
      <c r="J11" s="214"/>
      <c r="K11" s="215"/>
      <c r="L11" s="183"/>
    </row>
    <row r="12" spans="1:202" s="205" customFormat="1" ht="15.6" customHeight="1" x14ac:dyDescent="0.3">
      <c r="A12" s="216" t="s">
        <v>46</v>
      </c>
      <c r="B12" s="217" t="s">
        <v>47</v>
      </c>
      <c r="C12" s="218">
        <f t="shared" ref="C12:F12" si="3">C13+C18+C22+C24+C29+C37+C40+C42+C85+C90</f>
        <v>360132.815782324</v>
      </c>
      <c r="D12" s="218">
        <f t="shared" si="3"/>
        <v>356383.84458232403</v>
      </c>
      <c r="E12" s="218">
        <f t="shared" si="3"/>
        <v>284080.10486145585</v>
      </c>
      <c r="F12" s="218">
        <f t="shared" si="3"/>
        <v>72329.48972086815</v>
      </c>
      <c r="G12" s="195">
        <f t="shared" si="2"/>
        <v>98.95900316891256</v>
      </c>
      <c r="H12" s="212"/>
      <c r="I12" s="215"/>
      <c r="J12" s="215"/>
      <c r="K12" s="215"/>
      <c r="L12" s="204"/>
      <c r="M12" s="219"/>
      <c r="N12" s="219"/>
      <c r="O12" s="220"/>
      <c r="P12" s="220"/>
    </row>
    <row r="13" spans="1:202" s="199" customFormat="1" ht="15.6" customHeight="1" x14ac:dyDescent="0.3">
      <c r="A13" s="221">
        <v>1</v>
      </c>
      <c r="B13" s="217" t="s">
        <v>48</v>
      </c>
      <c r="C13" s="218">
        <f t="shared" ref="C13:F13" si="4">C14+C15</f>
        <v>1546.181</v>
      </c>
      <c r="D13" s="218">
        <f t="shared" si="4"/>
        <v>1485.4860000000001</v>
      </c>
      <c r="E13" s="218">
        <f t="shared" si="4"/>
        <v>840.4860000000001</v>
      </c>
      <c r="F13" s="218">
        <f t="shared" si="4"/>
        <v>645</v>
      </c>
      <c r="G13" s="195">
        <f t="shared" si="2"/>
        <v>96.074521676310866</v>
      </c>
      <c r="H13" s="212"/>
      <c r="I13" s="222"/>
      <c r="J13" s="222"/>
      <c r="K13" s="222"/>
      <c r="L13" s="183"/>
    </row>
    <row r="14" spans="1:202" s="199" customFormat="1" ht="15.6" customHeight="1" x14ac:dyDescent="0.3">
      <c r="A14" s="223" t="s">
        <v>49</v>
      </c>
      <c r="B14" s="224" t="s">
        <v>50</v>
      </c>
      <c r="C14" s="225">
        <v>304</v>
      </c>
      <c r="D14" s="225">
        <f>E14+F14</f>
        <v>243.30500000000004</v>
      </c>
      <c r="E14" s="226">
        <v>133.30500000000004</v>
      </c>
      <c r="F14" s="227">
        <v>110</v>
      </c>
      <c r="G14" s="228">
        <f t="shared" si="2"/>
        <v>80.03453947368422</v>
      </c>
      <c r="H14" s="212"/>
      <c r="I14" s="229"/>
      <c r="J14" s="182"/>
      <c r="K14" s="182"/>
      <c r="L14" s="183"/>
    </row>
    <row r="15" spans="1:202" s="199" customFormat="1" ht="15.6" customHeight="1" x14ac:dyDescent="0.3">
      <c r="A15" s="223" t="s">
        <v>49</v>
      </c>
      <c r="B15" s="230" t="s">
        <v>51</v>
      </c>
      <c r="C15" s="231">
        <f>C16+C17</f>
        <v>1242.181</v>
      </c>
      <c r="D15" s="231">
        <f t="shared" ref="D15:F15" si="5">D16+D17</f>
        <v>1242.181</v>
      </c>
      <c r="E15" s="231">
        <f t="shared" si="5"/>
        <v>707.18100000000004</v>
      </c>
      <c r="F15" s="231">
        <f t="shared" si="5"/>
        <v>535</v>
      </c>
      <c r="G15" s="228">
        <f t="shared" si="2"/>
        <v>100</v>
      </c>
      <c r="H15" s="212"/>
      <c r="I15" s="229"/>
      <c r="J15" s="229"/>
      <c r="K15" s="229"/>
      <c r="L15" s="183"/>
    </row>
    <row r="16" spans="1:202" s="199" customFormat="1" ht="27.6" hidden="1" x14ac:dyDescent="0.3">
      <c r="A16" s="232"/>
      <c r="B16" s="233" t="s">
        <v>222</v>
      </c>
      <c r="C16" s="234">
        <f>807.181</f>
        <v>807.18100000000004</v>
      </c>
      <c r="D16" s="234">
        <f>E16+F16</f>
        <v>807.18100000000004</v>
      </c>
      <c r="E16" s="235">
        <v>707.18100000000004</v>
      </c>
      <c r="F16" s="227">
        <f t="shared" ref="F16:F17" si="6">C16-E16</f>
        <v>100</v>
      </c>
      <c r="G16" s="228">
        <f t="shared" si="2"/>
        <v>100</v>
      </c>
      <c r="H16" s="212"/>
      <c r="I16" s="236"/>
      <c r="J16" s="237"/>
      <c r="K16" s="237"/>
      <c r="L16" s="238"/>
      <c r="M16" s="239"/>
      <c r="N16" s="239"/>
      <c r="O16" s="239"/>
      <c r="P16" s="239"/>
      <c r="Q16" s="239"/>
      <c r="R16" s="239"/>
      <c r="S16" s="239"/>
      <c r="T16" s="239"/>
      <c r="U16" s="239"/>
      <c r="V16" s="239"/>
      <c r="W16" s="239"/>
      <c r="X16" s="239"/>
      <c r="Y16" s="239"/>
      <c r="Z16" s="239"/>
      <c r="AA16" s="239"/>
      <c r="AB16" s="239"/>
      <c r="AC16" s="239"/>
      <c r="AD16" s="239"/>
      <c r="AE16" s="239"/>
      <c r="AF16" s="239"/>
      <c r="AG16" s="239"/>
      <c r="AH16" s="239"/>
      <c r="AI16" s="239"/>
      <c r="AJ16" s="239"/>
      <c r="AK16" s="239"/>
      <c r="AL16" s="239"/>
      <c r="AM16" s="239"/>
      <c r="AN16" s="239"/>
      <c r="AO16" s="239"/>
      <c r="AP16" s="239"/>
      <c r="AQ16" s="239"/>
      <c r="AR16" s="239"/>
      <c r="AS16" s="239"/>
      <c r="AT16" s="239"/>
      <c r="AU16" s="239"/>
      <c r="AV16" s="239"/>
      <c r="AW16" s="239"/>
      <c r="AX16" s="239"/>
      <c r="AY16" s="239"/>
      <c r="AZ16" s="239"/>
      <c r="BA16" s="239"/>
      <c r="BB16" s="239"/>
      <c r="BC16" s="239"/>
      <c r="BD16" s="239"/>
      <c r="BE16" s="239"/>
      <c r="BF16" s="239"/>
      <c r="BG16" s="239"/>
      <c r="BH16" s="239"/>
      <c r="BI16" s="239"/>
      <c r="BJ16" s="239"/>
      <c r="BK16" s="239"/>
      <c r="BL16" s="239"/>
      <c r="BM16" s="239"/>
      <c r="BN16" s="239"/>
      <c r="BO16" s="239"/>
      <c r="BP16" s="239"/>
      <c r="BQ16" s="239"/>
      <c r="BR16" s="239"/>
      <c r="BS16" s="239"/>
      <c r="BT16" s="239"/>
      <c r="BU16" s="239"/>
      <c r="BV16" s="239"/>
      <c r="BW16" s="239"/>
      <c r="BX16" s="239"/>
      <c r="BY16" s="239"/>
      <c r="BZ16" s="239"/>
      <c r="CA16" s="239"/>
      <c r="CB16" s="239"/>
      <c r="CC16" s="239"/>
      <c r="CD16" s="239"/>
      <c r="CE16" s="239"/>
      <c r="CF16" s="239"/>
      <c r="CG16" s="239"/>
      <c r="CH16" s="239"/>
      <c r="CI16" s="239"/>
      <c r="CJ16" s="239"/>
      <c r="CK16" s="239"/>
      <c r="CL16" s="239"/>
      <c r="CM16" s="239"/>
      <c r="CN16" s="239"/>
      <c r="CO16" s="239"/>
      <c r="CP16" s="239"/>
      <c r="CQ16" s="239"/>
      <c r="CR16" s="239"/>
      <c r="CS16" s="239"/>
      <c r="CT16" s="239"/>
      <c r="CU16" s="239"/>
      <c r="CV16" s="239"/>
      <c r="CW16" s="239"/>
      <c r="CX16" s="239"/>
      <c r="CY16" s="239"/>
      <c r="CZ16" s="239"/>
      <c r="DA16" s="239"/>
      <c r="DB16" s="239"/>
      <c r="DC16" s="239"/>
      <c r="DD16" s="239"/>
      <c r="DE16" s="239"/>
      <c r="DF16" s="239"/>
      <c r="DG16" s="239"/>
      <c r="DH16" s="239"/>
      <c r="DI16" s="239"/>
      <c r="DJ16" s="239"/>
      <c r="DK16" s="239"/>
      <c r="DL16" s="239"/>
      <c r="DM16" s="239"/>
      <c r="DN16" s="239"/>
      <c r="DO16" s="239"/>
      <c r="DP16" s="239"/>
      <c r="DQ16" s="239"/>
      <c r="DR16" s="239"/>
      <c r="DS16" s="239"/>
      <c r="DT16" s="239"/>
      <c r="DU16" s="239"/>
      <c r="DV16" s="239"/>
      <c r="DW16" s="239"/>
      <c r="DX16" s="239"/>
      <c r="DY16" s="239"/>
      <c r="DZ16" s="239"/>
      <c r="EA16" s="239"/>
      <c r="EB16" s="239"/>
      <c r="EC16" s="239"/>
      <c r="ED16" s="239"/>
      <c r="EE16" s="239"/>
      <c r="EF16" s="239"/>
      <c r="EG16" s="239"/>
      <c r="EH16" s="239"/>
      <c r="EI16" s="239"/>
      <c r="EJ16" s="239"/>
      <c r="EK16" s="239"/>
      <c r="EL16" s="239"/>
      <c r="EM16" s="239"/>
      <c r="EN16" s="239"/>
      <c r="EO16" s="239"/>
      <c r="EP16" s="239"/>
      <c r="EQ16" s="239"/>
      <c r="ER16" s="239"/>
      <c r="ES16" s="239"/>
      <c r="ET16" s="239"/>
      <c r="EU16" s="239"/>
      <c r="EV16" s="239"/>
      <c r="EW16" s="239"/>
      <c r="EX16" s="239"/>
      <c r="EY16" s="239"/>
      <c r="EZ16" s="239"/>
      <c r="FA16" s="239"/>
      <c r="FB16" s="239"/>
      <c r="FC16" s="239"/>
      <c r="FD16" s="239"/>
      <c r="FE16" s="239"/>
      <c r="FF16" s="239"/>
      <c r="FG16" s="239"/>
      <c r="FH16" s="239"/>
      <c r="FI16" s="239"/>
      <c r="FJ16" s="239"/>
      <c r="FK16" s="239"/>
      <c r="FL16" s="239"/>
      <c r="FM16" s="239"/>
      <c r="FN16" s="239"/>
      <c r="FO16" s="239"/>
      <c r="FP16" s="239"/>
      <c r="FQ16" s="239"/>
      <c r="FR16" s="239"/>
      <c r="FS16" s="239"/>
      <c r="FT16" s="239"/>
      <c r="FU16" s="239"/>
      <c r="FV16" s="239"/>
      <c r="FW16" s="239"/>
      <c r="FX16" s="239"/>
      <c r="FY16" s="239"/>
      <c r="FZ16" s="239"/>
      <c r="GA16" s="239"/>
      <c r="GB16" s="239"/>
      <c r="GC16" s="239"/>
      <c r="GD16" s="239"/>
      <c r="GE16" s="239"/>
      <c r="GF16" s="239"/>
      <c r="GG16" s="239"/>
      <c r="GH16" s="239"/>
      <c r="GI16" s="239"/>
      <c r="GJ16" s="239"/>
      <c r="GK16" s="239"/>
      <c r="GL16" s="239"/>
      <c r="GM16" s="239"/>
      <c r="GN16" s="239"/>
      <c r="GO16" s="239"/>
      <c r="GP16" s="239"/>
      <c r="GQ16" s="239"/>
      <c r="GR16" s="239"/>
      <c r="GS16" s="239"/>
      <c r="GT16" s="239"/>
    </row>
    <row r="17" spans="1:202" s="199" customFormat="1" ht="41.4" hidden="1" x14ac:dyDescent="0.3">
      <c r="A17" s="232"/>
      <c r="B17" s="233" t="s">
        <v>223</v>
      </c>
      <c r="C17" s="234">
        <f>435</f>
        <v>435</v>
      </c>
      <c r="D17" s="234">
        <f>E17+F17</f>
        <v>435</v>
      </c>
      <c r="E17" s="240">
        <v>0</v>
      </c>
      <c r="F17" s="227">
        <f t="shared" si="6"/>
        <v>435</v>
      </c>
      <c r="G17" s="228">
        <f t="shared" si="2"/>
        <v>100</v>
      </c>
      <c r="H17" s="212"/>
      <c r="I17" s="237"/>
      <c r="J17" s="237"/>
      <c r="K17" s="237"/>
      <c r="L17" s="238"/>
      <c r="M17" s="239"/>
      <c r="N17" s="239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39"/>
      <c r="AG17" s="239"/>
      <c r="AH17" s="239"/>
      <c r="AI17" s="239"/>
      <c r="AJ17" s="239"/>
      <c r="AK17" s="239"/>
      <c r="AL17" s="239"/>
      <c r="AM17" s="239"/>
      <c r="AN17" s="239"/>
      <c r="AO17" s="239"/>
      <c r="AP17" s="239"/>
      <c r="AQ17" s="239"/>
      <c r="AR17" s="239"/>
      <c r="AS17" s="239"/>
      <c r="AT17" s="239"/>
      <c r="AU17" s="239"/>
      <c r="AV17" s="239"/>
      <c r="AW17" s="239"/>
      <c r="AX17" s="239"/>
      <c r="AY17" s="239"/>
      <c r="AZ17" s="239"/>
      <c r="BA17" s="239"/>
      <c r="BB17" s="239"/>
      <c r="BC17" s="239"/>
      <c r="BD17" s="239"/>
      <c r="BE17" s="239"/>
      <c r="BF17" s="239"/>
      <c r="BG17" s="239"/>
      <c r="BH17" s="239"/>
      <c r="BI17" s="239"/>
      <c r="BJ17" s="239"/>
      <c r="BK17" s="239"/>
      <c r="BL17" s="239"/>
      <c r="BM17" s="239"/>
      <c r="BN17" s="239"/>
      <c r="BO17" s="239"/>
      <c r="BP17" s="239"/>
      <c r="BQ17" s="239"/>
      <c r="BR17" s="239"/>
      <c r="BS17" s="239"/>
      <c r="BT17" s="239"/>
      <c r="BU17" s="239"/>
      <c r="BV17" s="239"/>
      <c r="BW17" s="239"/>
      <c r="BX17" s="239"/>
      <c r="BY17" s="239"/>
      <c r="BZ17" s="239"/>
      <c r="CA17" s="239"/>
      <c r="CB17" s="239"/>
      <c r="CC17" s="239"/>
      <c r="CD17" s="239"/>
      <c r="CE17" s="239"/>
      <c r="CF17" s="239"/>
      <c r="CG17" s="239"/>
      <c r="CH17" s="239"/>
      <c r="CI17" s="239"/>
      <c r="CJ17" s="239"/>
      <c r="CK17" s="239"/>
      <c r="CL17" s="239"/>
      <c r="CM17" s="239"/>
      <c r="CN17" s="239"/>
      <c r="CO17" s="239"/>
      <c r="CP17" s="239"/>
      <c r="CQ17" s="239"/>
      <c r="CR17" s="239"/>
      <c r="CS17" s="239"/>
      <c r="CT17" s="239"/>
      <c r="CU17" s="239"/>
      <c r="CV17" s="239"/>
      <c r="CW17" s="239"/>
      <c r="CX17" s="239"/>
      <c r="CY17" s="239"/>
      <c r="CZ17" s="239"/>
      <c r="DA17" s="239"/>
      <c r="DB17" s="239"/>
      <c r="DC17" s="239"/>
      <c r="DD17" s="239"/>
      <c r="DE17" s="239"/>
      <c r="DF17" s="239"/>
      <c r="DG17" s="239"/>
      <c r="DH17" s="239"/>
      <c r="DI17" s="239"/>
      <c r="DJ17" s="239"/>
      <c r="DK17" s="239"/>
      <c r="DL17" s="239"/>
      <c r="DM17" s="239"/>
      <c r="DN17" s="239"/>
      <c r="DO17" s="239"/>
      <c r="DP17" s="239"/>
      <c r="DQ17" s="239"/>
      <c r="DR17" s="239"/>
      <c r="DS17" s="239"/>
      <c r="DT17" s="239"/>
      <c r="DU17" s="239"/>
      <c r="DV17" s="239"/>
      <c r="DW17" s="239"/>
      <c r="DX17" s="239"/>
      <c r="DY17" s="239"/>
      <c r="DZ17" s="239"/>
      <c r="EA17" s="239"/>
      <c r="EB17" s="239"/>
      <c r="EC17" s="239"/>
      <c r="ED17" s="239"/>
      <c r="EE17" s="239"/>
      <c r="EF17" s="239"/>
      <c r="EG17" s="239"/>
      <c r="EH17" s="239"/>
      <c r="EI17" s="239"/>
      <c r="EJ17" s="239"/>
      <c r="EK17" s="239"/>
      <c r="EL17" s="239"/>
      <c r="EM17" s="239"/>
      <c r="EN17" s="239"/>
      <c r="EO17" s="239"/>
      <c r="EP17" s="239"/>
      <c r="EQ17" s="239"/>
      <c r="ER17" s="239"/>
      <c r="ES17" s="239"/>
      <c r="ET17" s="239"/>
      <c r="EU17" s="239"/>
      <c r="EV17" s="239"/>
      <c r="EW17" s="239"/>
      <c r="EX17" s="239"/>
      <c r="EY17" s="239"/>
      <c r="EZ17" s="239"/>
      <c r="FA17" s="239"/>
      <c r="FB17" s="239"/>
      <c r="FC17" s="239"/>
      <c r="FD17" s="239"/>
      <c r="FE17" s="239"/>
      <c r="FF17" s="239"/>
      <c r="FG17" s="239"/>
      <c r="FH17" s="239"/>
      <c r="FI17" s="239"/>
      <c r="FJ17" s="239"/>
      <c r="FK17" s="239"/>
      <c r="FL17" s="239"/>
      <c r="FM17" s="239"/>
      <c r="FN17" s="239"/>
      <c r="FO17" s="239"/>
      <c r="FP17" s="239"/>
      <c r="FQ17" s="239"/>
      <c r="FR17" s="239"/>
      <c r="FS17" s="239"/>
      <c r="FT17" s="239"/>
      <c r="FU17" s="239"/>
      <c r="FV17" s="239"/>
      <c r="FW17" s="239"/>
      <c r="FX17" s="239"/>
      <c r="FY17" s="239"/>
      <c r="FZ17" s="239"/>
      <c r="GA17" s="239"/>
      <c r="GB17" s="239"/>
      <c r="GC17" s="239"/>
      <c r="GD17" s="239"/>
      <c r="GE17" s="239"/>
      <c r="GF17" s="239"/>
      <c r="GG17" s="239"/>
      <c r="GH17" s="239"/>
      <c r="GI17" s="239"/>
      <c r="GJ17" s="239"/>
      <c r="GK17" s="239"/>
      <c r="GL17" s="239"/>
      <c r="GM17" s="239"/>
      <c r="GN17" s="239"/>
      <c r="GO17" s="239"/>
      <c r="GP17" s="239"/>
      <c r="GQ17" s="239"/>
      <c r="GR17" s="239"/>
      <c r="GS17" s="239"/>
      <c r="GT17" s="239"/>
    </row>
    <row r="18" spans="1:202" s="205" customFormat="1" ht="16.8" customHeight="1" x14ac:dyDescent="0.3">
      <c r="A18" s="241">
        <v>2</v>
      </c>
      <c r="B18" s="242" t="s">
        <v>61</v>
      </c>
      <c r="C18" s="218">
        <f>+SUM(C19:C21)</f>
        <v>96899.16</v>
      </c>
      <c r="D18" s="218">
        <f>+SUM(D19:D21)</f>
        <v>96832.046000000002</v>
      </c>
      <c r="E18" s="218">
        <f t="shared" ref="E18:F18" si="7">+SUM(E19:E21)</f>
        <v>47622.204164000002</v>
      </c>
      <c r="F18" s="218">
        <f t="shared" si="7"/>
        <v>49209.841836</v>
      </c>
      <c r="G18" s="211">
        <f t="shared" si="2"/>
        <v>99.930738305677778</v>
      </c>
      <c r="H18" s="212"/>
      <c r="I18" s="243"/>
      <c r="J18" s="215"/>
      <c r="K18" s="215"/>
      <c r="L18" s="204"/>
    </row>
    <row r="19" spans="1:202" s="199" customFormat="1" ht="16.8" customHeight="1" x14ac:dyDescent="0.3">
      <c r="A19" s="244" t="s">
        <v>49</v>
      </c>
      <c r="B19" s="224" t="s">
        <v>62</v>
      </c>
      <c r="C19" s="245">
        <v>94792</v>
      </c>
      <c r="D19" s="245">
        <f>E19+F19</f>
        <v>94724.885999999999</v>
      </c>
      <c r="E19" s="245">
        <v>46496.084164</v>
      </c>
      <c r="F19" s="246">
        <f>48135.801836+93</f>
        <v>48228.801835999999</v>
      </c>
      <c r="G19" s="211">
        <f t="shared" si="2"/>
        <v>99.929198666554143</v>
      </c>
      <c r="H19" s="212"/>
      <c r="I19" s="229"/>
      <c r="J19" s="229"/>
      <c r="K19" s="229"/>
      <c r="L19" s="183"/>
    </row>
    <row r="20" spans="1:202" s="199" customFormat="1" ht="16.8" customHeight="1" x14ac:dyDescent="0.3">
      <c r="A20" s="244" t="s">
        <v>49</v>
      </c>
      <c r="B20" s="224" t="s">
        <v>109</v>
      </c>
      <c r="C20" s="231">
        <v>56.16</v>
      </c>
      <c r="D20" s="245">
        <f t="shared" ref="D20:D21" si="8">E20+F20</f>
        <v>56.16</v>
      </c>
      <c r="E20" s="231">
        <v>42.12</v>
      </c>
      <c r="F20" s="246">
        <f>C20-E20</f>
        <v>14.04</v>
      </c>
      <c r="G20" s="228">
        <f t="shared" si="2"/>
        <v>100</v>
      </c>
      <c r="H20" s="212"/>
      <c r="I20" s="182"/>
      <c r="J20" s="229"/>
      <c r="K20" s="229"/>
      <c r="L20" s="183"/>
    </row>
    <row r="21" spans="1:202" s="199" customFormat="1" ht="16.8" customHeight="1" x14ac:dyDescent="0.3">
      <c r="A21" s="244" t="s">
        <v>49</v>
      </c>
      <c r="B21" s="224" t="s">
        <v>63</v>
      </c>
      <c r="C21" s="231">
        <v>2051</v>
      </c>
      <c r="D21" s="245">
        <f t="shared" si="8"/>
        <v>2051</v>
      </c>
      <c r="E21" s="231">
        <v>1084</v>
      </c>
      <c r="F21" s="247">
        <f>C21-E21</f>
        <v>967</v>
      </c>
      <c r="G21" s="228">
        <f t="shared" si="2"/>
        <v>100</v>
      </c>
      <c r="H21" s="212"/>
      <c r="I21" s="229"/>
      <c r="J21" s="182"/>
      <c r="K21" s="182"/>
      <c r="L21" s="183"/>
    </row>
    <row r="22" spans="1:202" s="205" customFormat="1" ht="16.8" customHeight="1" x14ac:dyDescent="0.3">
      <c r="A22" s="241">
        <v>3</v>
      </c>
      <c r="B22" s="242" t="s">
        <v>69</v>
      </c>
      <c r="C22" s="218">
        <f t="shared" ref="C22:F22" si="9">C23</f>
        <v>1002</v>
      </c>
      <c r="D22" s="218">
        <f t="shared" si="9"/>
        <v>805.54499999999996</v>
      </c>
      <c r="E22" s="218">
        <f t="shared" si="9"/>
        <v>0</v>
      </c>
      <c r="F22" s="218">
        <f t="shared" si="9"/>
        <v>805.54499999999996</v>
      </c>
      <c r="G22" s="195">
        <f t="shared" si="2"/>
        <v>80.393712574850298</v>
      </c>
      <c r="H22" s="212"/>
      <c r="I22" s="215"/>
      <c r="J22" s="203"/>
      <c r="K22" s="203"/>
      <c r="L22" s="204"/>
    </row>
    <row r="23" spans="1:202" s="199" customFormat="1" ht="27.6" x14ac:dyDescent="0.3">
      <c r="A23" s="248"/>
      <c r="B23" s="249" t="s">
        <v>224</v>
      </c>
      <c r="C23" s="231">
        <v>1002</v>
      </c>
      <c r="D23" s="231">
        <f>E23+F23</f>
        <v>805.54499999999996</v>
      </c>
      <c r="E23" s="231">
        <v>0</v>
      </c>
      <c r="F23" s="227">
        <f>805.545</f>
        <v>805.54499999999996</v>
      </c>
      <c r="G23" s="211">
        <f t="shared" si="2"/>
        <v>80.393712574850298</v>
      </c>
      <c r="H23" s="212"/>
      <c r="I23" s="182"/>
      <c r="J23" s="182"/>
      <c r="K23" s="182"/>
      <c r="L23" s="183"/>
    </row>
    <row r="24" spans="1:202" s="205" customFormat="1" ht="27.6" x14ac:dyDescent="0.3">
      <c r="A24" s="221">
        <v>4</v>
      </c>
      <c r="B24" s="217" t="s">
        <v>72</v>
      </c>
      <c r="C24" s="250">
        <f t="shared" ref="C24:F24" si="10">SUM(C25:C28)</f>
        <v>534</v>
      </c>
      <c r="D24" s="250">
        <f t="shared" si="10"/>
        <v>515</v>
      </c>
      <c r="E24" s="250">
        <f t="shared" si="10"/>
        <v>240.1</v>
      </c>
      <c r="F24" s="250">
        <f t="shared" si="10"/>
        <v>293.89999999999998</v>
      </c>
      <c r="G24" s="195">
        <f t="shared" si="2"/>
        <v>96.441947565543074</v>
      </c>
      <c r="H24" s="212"/>
      <c r="I24" s="203"/>
      <c r="J24" s="203"/>
      <c r="K24" s="203"/>
      <c r="L24" s="204"/>
    </row>
    <row r="25" spans="1:202" s="199" customFormat="1" ht="15.6" customHeight="1" x14ac:dyDescent="0.3">
      <c r="A25" s="248" t="s">
        <v>49</v>
      </c>
      <c r="B25" s="249" t="s">
        <v>73</v>
      </c>
      <c r="C25" s="231">
        <v>240</v>
      </c>
      <c r="D25" s="231">
        <f>E25+F25</f>
        <v>240</v>
      </c>
      <c r="E25" s="231">
        <v>199</v>
      </c>
      <c r="F25" s="227">
        <f>41</f>
        <v>41</v>
      </c>
      <c r="G25" s="228">
        <f t="shared" si="2"/>
        <v>100</v>
      </c>
      <c r="H25" s="212"/>
      <c r="I25" s="182"/>
      <c r="J25" s="182"/>
      <c r="K25" s="182"/>
      <c r="L25" s="183"/>
    </row>
    <row r="26" spans="1:202" s="199" customFormat="1" ht="15.6" customHeight="1" x14ac:dyDescent="0.3">
      <c r="A26" s="248" t="s">
        <v>49</v>
      </c>
      <c r="B26" s="249" t="s">
        <v>225</v>
      </c>
      <c r="C26" s="231">
        <v>120</v>
      </c>
      <c r="D26" s="231">
        <f>E26+F26</f>
        <v>120</v>
      </c>
      <c r="E26" s="231">
        <v>0</v>
      </c>
      <c r="F26" s="227">
        <f>120</f>
        <v>120</v>
      </c>
      <c r="G26" s="228">
        <f t="shared" si="2"/>
        <v>100</v>
      </c>
      <c r="H26" s="212"/>
      <c r="I26" s="229"/>
      <c r="J26" s="182"/>
      <c r="K26" s="182"/>
      <c r="L26" s="183"/>
    </row>
    <row r="27" spans="1:202" s="199" customFormat="1" ht="15.6" customHeight="1" x14ac:dyDescent="0.3">
      <c r="A27" s="248" t="s">
        <v>49</v>
      </c>
      <c r="B27" s="249" t="s">
        <v>226</v>
      </c>
      <c r="C27" s="231">
        <v>155</v>
      </c>
      <c r="D27" s="231">
        <f>E27+F27</f>
        <v>155</v>
      </c>
      <c r="E27" s="251">
        <v>37.5</v>
      </c>
      <c r="F27" s="227">
        <v>117.5</v>
      </c>
      <c r="G27" s="228">
        <f t="shared" si="2"/>
        <v>100</v>
      </c>
      <c r="H27" s="212"/>
      <c r="I27" s="182"/>
      <c r="J27" s="182"/>
      <c r="K27" s="182"/>
      <c r="L27" s="183"/>
    </row>
    <row r="28" spans="1:202" s="199" customFormat="1" ht="15.6" customHeight="1" x14ac:dyDescent="0.3">
      <c r="A28" s="248" t="s">
        <v>49</v>
      </c>
      <c r="B28" s="249" t="s">
        <v>75</v>
      </c>
      <c r="C28" s="231">
        <v>19</v>
      </c>
      <c r="D28" s="231"/>
      <c r="E28" s="231">
        <v>3.6</v>
      </c>
      <c r="F28" s="227">
        <f t="shared" ref="F28" si="11">C28-E28</f>
        <v>15.4</v>
      </c>
      <c r="G28" s="211">
        <f t="shared" si="2"/>
        <v>0</v>
      </c>
      <c r="H28" s="212"/>
      <c r="I28" s="229"/>
      <c r="J28" s="182"/>
      <c r="K28" s="182"/>
      <c r="L28" s="183"/>
    </row>
    <row r="29" spans="1:202" s="205" customFormat="1" ht="15.6" customHeight="1" x14ac:dyDescent="0.3">
      <c r="A29" s="221">
        <v>5</v>
      </c>
      <c r="B29" s="217" t="s">
        <v>76</v>
      </c>
      <c r="C29" s="250">
        <f t="shared" ref="C29:F29" si="12">SUM(C30:C36)</f>
        <v>8390.9948000000004</v>
      </c>
      <c r="D29" s="250">
        <f t="shared" si="12"/>
        <v>5803.4448000000002</v>
      </c>
      <c r="E29" s="250">
        <f t="shared" si="12"/>
        <v>636.12239999999997</v>
      </c>
      <c r="F29" s="250">
        <f t="shared" si="12"/>
        <v>5174.0724</v>
      </c>
      <c r="G29" s="195">
        <f t="shared" si="2"/>
        <v>69.162774359006875</v>
      </c>
      <c r="H29" s="212"/>
      <c r="I29" s="197"/>
      <c r="J29" s="252"/>
      <c r="K29" s="197"/>
      <c r="L29" s="204"/>
    </row>
    <row r="30" spans="1:202" s="199" customFormat="1" ht="27.6" x14ac:dyDescent="0.3">
      <c r="A30" s="248" t="s">
        <v>49</v>
      </c>
      <c r="B30" s="249" t="s">
        <v>227</v>
      </c>
      <c r="C30" s="231">
        <v>778.74479999999994</v>
      </c>
      <c r="D30" s="231">
        <f>E30+F30</f>
        <v>778.74479999999994</v>
      </c>
      <c r="E30" s="231">
        <v>389.37239999999997</v>
      </c>
      <c r="F30" s="227">
        <v>389.37239999999997</v>
      </c>
      <c r="G30" s="228">
        <f t="shared" si="2"/>
        <v>100</v>
      </c>
      <c r="H30" s="212"/>
      <c r="I30" s="182"/>
      <c r="J30" s="229"/>
      <c r="K30" s="182"/>
      <c r="L30" s="183"/>
    </row>
    <row r="31" spans="1:202" s="199" customFormat="1" ht="15.6" customHeight="1" x14ac:dyDescent="0.3">
      <c r="A31" s="248" t="s">
        <v>49</v>
      </c>
      <c r="B31" s="249" t="s">
        <v>228</v>
      </c>
      <c r="C31" s="231">
        <v>6.75</v>
      </c>
      <c r="D31" s="231"/>
      <c r="E31" s="231">
        <v>2.25</v>
      </c>
      <c r="F31" s="227">
        <f t="shared" ref="F31:F32" si="13">C31-E31</f>
        <v>4.5</v>
      </c>
      <c r="G31" s="211">
        <f t="shared" si="2"/>
        <v>0</v>
      </c>
      <c r="H31" s="212"/>
      <c r="I31" s="182"/>
      <c r="J31" s="182"/>
      <c r="K31" s="182"/>
      <c r="L31" s="183"/>
    </row>
    <row r="32" spans="1:202" s="199" customFormat="1" ht="15.6" customHeight="1" x14ac:dyDescent="0.3">
      <c r="A32" s="248" t="s">
        <v>49</v>
      </c>
      <c r="B32" s="249" t="s">
        <v>229</v>
      </c>
      <c r="C32" s="231">
        <v>181.5</v>
      </c>
      <c r="D32" s="231">
        <f>E32+F32</f>
        <v>181.5</v>
      </c>
      <c r="E32" s="231">
        <v>181.5</v>
      </c>
      <c r="F32" s="227">
        <f t="shared" si="13"/>
        <v>0</v>
      </c>
      <c r="G32" s="228">
        <f t="shared" si="2"/>
        <v>100</v>
      </c>
      <c r="H32" s="212"/>
      <c r="I32" s="182"/>
      <c r="J32" s="182"/>
      <c r="K32" s="182"/>
      <c r="L32" s="183"/>
    </row>
    <row r="33" spans="1:12" s="199" customFormat="1" ht="15.6" customHeight="1" x14ac:dyDescent="0.3">
      <c r="A33" s="248" t="s">
        <v>49</v>
      </c>
      <c r="B33" s="249" t="s">
        <v>91</v>
      </c>
      <c r="C33" s="231">
        <v>235</v>
      </c>
      <c r="D33" s="231">
        <f>E33+F33</f>
        <v>63</v>
      </c>
      <c r="E33" s="231">
        <v>63</v>
      </c>
      <c r="F33" s="227">
        <v>0</v>
      </c>
      <c r="G33" s="211">
        <f t="shared" si="2"/>
        <v>26.808510638297872</v>
      </c>
      <c r="H33" s="212"/>
      <c r="I33" s="253"/>
      <c r="J33" s="253"/>
      <c r="K33" s="253"/>
      <c r="L33" s="183"/>
    </row>
    <row r="34" spans="1:12" s="199" customFormat="1" ht="15.6" customHeight="1" x14ac:dyDescent="0.3">
      <c r="A34" s="248" t="s">
        <v>49</v>
      </c>
      <c r="B34" s="249" t="s">
        <v>230</v>
      </c>
      <c r="C34" s="227">
        <v>181</v>
      </c>
      <c r="D34" s="227">
        <f>E34+F34</f>
        <v>80.199999999999989</v>
      </c>
      <c r="E34" s="227"/>
      <c r="F34" s="227">
        <f>33.4+46.8</f>
        <v>80.199999999999989</v>
      </c>
      <c r="G34" s="211">
        <f t="shared" si="2"/>
        <v>44.309392265193367</v>
      </c>
      <c r="H34" s="212"/>
      <c r="I34" s="253"/>
      <c r="J34" s="253"/>
      <c r="K34" s="253"/>
      <c r="L34" s="183"/>
    </row>
    <row r="35" spans="1:12" s="199" customFormat="1" ht="15.6" customHeight="1" x14ac:dyDescent="0.25">
      <c r="A35" s="248" t="s">
        <v>49</v>
      </c>
      <c r="B35" s="249" t="s">
        <v>231</v>
      </c>
      <c r="C35" s="227">
        <v>6925</v>
      </c>
      <c r="D35" s="227">
        <f>E35+F35</f>
        <v>4700</v>
      </c>
      <c r="E35" s="227"/>
      <c r="F35" s="227">
        <f>2300+2400</f>
        <v>4700</v>
      </c>
      <c r="G35" s="211">
        <f t="shared" si="2"/>
        <v>67.870036101083031</v>
      </c>
      <c r="H35" s="212"/>
      <c r="I35" s="229"/>
      <c r="J35" s="182"/>
      <c r="K35" s="254"/>
      <c r="L35" s="183"/>
    </row>
    <row r="36" spans="1:12" s="199" customFormat="1" ht="15.6" customHeight="1" x14ac:dyDescent="0.3">
      <c r="A36" s="248" t="s">
        <v>49</v>
      </c>
      <c r="B36" s="249" t="s">
        <v>232</v>
      </c>
      <c r="C36" s="231">
        <v>83</v>
      </c>
      <c r="D36" s="231">
        <f>E36+F36</f>
        <v>0</v>
      </c>
      <c r="E36" s="231">
        <v>0</v>
      </c>
      <c r="F36" s="227">
        <v>0</v>
      </c>
      <c r="G36" s="211">
        <f t="shared" si="2"/>
        <v>0</v>
      </c>
      <c r="H36" s="212"/>
      <c r="I36" s="182"/>
      <c r="J36" s="182"/>
      <c r="K36" s="182"/>
      <c r="L36" s="183"/>
    </row>
    <row r="37" spans="1:12" s="199" customFormat="1" ht="15.6" customHeight="1" x14ac:dyDescent="0.3">
      <c r="A37" s="221">
        <v>6</v>
      </c>
      <c r="B37" s="217" t="s">
        <v>92</v>
      </c>
      <c r="C37" s="218">
        <f t="shared" ref="C37:F37" si="14">+SUM(C38:C39)</f>
        <v>837</v>
      </c>
      <c r="D37" s="218">
        <f t="shared" si="14"/>
        <v>837</v>
      </c>
      <c r="E37" s="218">
        <f t="shared" si="14"/>
        <v>650</v>
      </c>
      <c r="F37" s="218">
        <f t="shared" si="14"/>
        <v>187</v>
      </c>
      <c r="G37" s="255">
        <f t="shared" si="2"/>
        <v>100</v>
      </c>
      <c r="H37" s="212"/>
      <c r="I37" s="182"/>
      <c r="J37" s="182"/>
      <c r="K37" s="182"/>
      <c r="L37" s="183"/>
    </row>
    <row r="38" spans="1:12" s="199" customFormat="1" ht="15.6" customHeight="1" x14ac:dyDescent="0.3">
      <c r="A38" s="248" t="s">
        <v>49</v>
      </c>
      <c r="B38" s="249" t="s">
        <v>93</v>
      </c>
      <c r="C38" s="231">
        <v>437</v>
      </c>
      <c r="D38" s="231">
        <f>E38+F38</f>
        <v>437</v>
      </c>
      <c r="E38" s="231">
        <v>250</v>
      </c>
      <c r="F38" s="227">
        <f>C38-E38</f>
        <v>187</v>
      </c>
      <c r="G38" s="228">
        <f t="shared" si="2"/>
        <v>100</v>
      </c>
      <c r="H38" s="212"/>
      <c r="I38" s="182"/>
      <c r="J38" s="182"/>
      <c r="K38" s="182"/>
      <c r="L38" s="183"/>
    </row>
    <row r="39" spans="1:12" s="199" customFormat="1" ht="15.6" customHeight="1" x14ac:dyDescent="0.3">
      <c r="A39" s="248" t="s">
        <v>49</v>
      </c>
      <c r="B39" s="249" t="s">
        <v>233</v>
      </c>
      <c r="C39" s="228">
        <v>400</v>
      </c>
      <c r="D39" s="228">
        <f>E39+F39</f>
        <v>400</v>
      </c>
      <c r="E39" s="228">
        <v>400</v>
      </c>
      <c r="F39" s="227">
        <f>C39-E39</f>
        <v>0</v>
      </c>
      <c r="G39" s="228">
        <f t="shared" si="2"/>
        <v>100</v>
      </c>
      <c r="H39" s="212"/>
      <c r="I39" s="222"/>
      <c r="J39" s="182"/>
      <c r="K39" s="183"/>
      <c r="L39" s="183"/>
    </row>
    <row r="40" spans="1:12" s="205" customFormat="1" ht="15.6" customHeight="1" x14ac:dyDescent="0.3">
      <c r="A40" s="216">
        <v>7</v>
      </c>
      <c r="B40" s="217" t="s">
        <v>99</v>
      </c>
      <c r="C40" s="218">
        <f t="shared" ref="C40:F40" si="15">C41</f>
        <v>958.68000000000006</v>
      </c>
      <c r="D40" s="218">
        <f t="shared" si="15"/>
        <v>958.68000000000006</v>
      </c>
      <c r="E40" s="218">
        <f t="shared" si="15"/>
        <v>660.37041699999997</v>
      </c>
      <c r="F40" s="218">
        <f t="shared" si="15"/>
        <v>298.30958300000009</v>
      </c>
      <c r="G40" s="228">
        <f t="shared" si="2"/>
        <v>100</v>
      </c>
      <c r="H40" s="212"/>
      <c r="I40" s="203"/>
      <c r="J40" s="203"/>
      <c r="K40" s="203"/>
      <c r="L40" s="204"/>
    </row>
    <row r="41" spans="1:12" s="199" customFormat="1" ht="15.6" customHeight="1" x14ac:dyDescent="0.3">
      <c r="A41" s="256" t="s">
        <v>49</v>
      </c>
      <c r="B41" s="249" t="s">
        <v>100</v>
      </c>
      <c r="C41" s="231">
        <v>958.68000000000006</v>
      </c>
      <c r="D41" s="231">
        <f>E41+F41</f>
        <v>958.68000000000006</v>
      </c>
      <c r="E41" s="231">
        <v>660.37041699999997</v>
      </c>
      <c r="F41" s="257">
        <v>298.30958300000009</v>
      </c>
      <c r="G41" s="228">
        <f t="shared" si="2"/>
        <v>100</v>
      </c>
      <c r="H41" s="212"/>
      <c r="I41" s="222"/>
      <c r="J41" s="182"/>
      <c r="K41" s="182"/>
      <c r="L41" s="183"/>
    </row>
    <row r="42" spans="1:12" s="205" customFormat="1" ht="15.6" customHeight="1" x14ac:dyDescent="0.3">
      <c r="A42" s="216">
        <v>8</v>
      </c>
      <c r="B42" s="217" t="s">
        <v>101</v>
      </c>
      <c r="C42" s="218">
        <f t="shared" ref="C42:F42" si="16">C43+C60+C73</f>
        <v>30357.799982323995</v>
      </c>
      <c r="D42" s="218">
        <f t="shared" si="16"/>
        <v>29898.642782323997</v>
      </c>
      <c r="E42" s="218">
        <f t="shared" si="16"/>
        <v>14412.821880455842</v>
      </c>
      <c r="F42" s="218">
        <f t="shared" si="16"/>
        <v>15485.820901868159</v>
      </c>
      <c r="G42" s="195">
        <f t="shared" si="2"/>
        <v>98.487514904679045</v>
      </c>
      <c r="H42" s="212"/>
      <c r="I42" s="203"/>
      <c r="J42" s="215"/>
      <c r="K42" s="203"/>
      <c r="L42" s="204"/>
    </row>
    <row r="43" spans="1:12" s="205" customFormat="1" ht="15.6" customHeight="1" x14ac:dyDescent="0.3">
      <c r="A43" s="216" t="s">
        <v>102</v>
      </c>
      <c r="B43" s="217" t="s">
        <v>103</v>
      </c>
      <c r="C43" s="218">
        <f t="shared" ref="C43:F43" si="17">SUM(C44:C59)</f>
        <v>17976.049199999998</v>
      </c>
      <c r="D43" s="218">
        <f t="shared" si="17"/>
        <v>17516.892</v>
      </c>
      <c r="E43" s="218">
        <f t="shared" si="17"/>
        <v>9858.6554417806274</v>
      </c>
      <c r="F43" s="218">
        <f t="shared" si="17"/>
        <v>7658.2365582193725</v>
      </c>
      <c r="G43" s="211">
        <f t="shared" si="2"/>
        <v>97.445727952279981</v>
      </c>
      <c r="H43" s="212"/>
      <c r="I43" s="203"/>
      <c r="J43" s="258"/>
      <c r="K43" s="203"/>
      <c r="L43" s="183"/>
    </row>
    <row r="44" spans="1:12" s="205" customFormat="1" ht="15.6" customHeight="1" x14ac:dyDescent="0.25">
      <c r="A44" s="256" t="s">
        <v>49</v>
      </c>
      <c r="B44" s="249" t="s">
        <v>104</v>
      </c>
      <c r="C44" s="227">
        <v>7743.4</v>
      </c>
      <c r="D44" s="227">
        <f>E44+F44</f>
        <v>7743.4</v>
      </c>
      <c r="E44" s="259">
        <v>3434.2726300000004</v>
      </c>
      <c r="F44" s="227">
        <f>C44-E44</f>
        <v>4309.1273699999992</v>
      </c>
      <c r="G44" s="228">
        <f t="shared" si="2"/>
        <v>100</v>
      </c>
      <c r="H44" s="212"/>
      <c r="I44" s="260"/>
      <c r="J44" s="261"/>
      <c r="K44" s="254"/>
      <c r="L44" s="204"/>
    </row>
    <row r="45" spans="1:12" s="205" customFormat="1" ht="15.6" customHeight="1" x14ac:dyDescent="0.3">
      <c r="A45" s="256" t="s">
        <v>49</v>
      </c>
      <c r="B45" s="249" t="s">
        <v>65</v>
      </c>
      <c r="C45" s="227">
        <v>1552.8</v>
      </c>
      <c r="D45" s="227">
        <f t="shared" ref="D45:D59" si="18">E45+F45</f>
        <v>1552.8</v>
      </c>
      <c r="E45" s="231">
        <v>728.92681178062696</v>
      </c>
      <c r="F45" s="227">
        <f t="shared" ref="F45:F59" si="19">C45-E45</f>
        <v>823.87318821937299</v>
      </c>
      <c r="G45" s="228">
        <f t="shared" si="2"/>
        <v>100</v>
      </c>
      <c r="H45" s="212"/>
      <c r="I45" s="262"/>
      <c r="J45" s="261"/>
      <c r="K45" s="261"/>
      <c r="L45" s="204"/>
    </row>
    <row r="46" spans="1:12" s="205" customFormat="1" ht="15.6" customHeight="1" x14ac:dyDescent="0.3">
      <c r="A46" s="256" t="s">
        <v>105</v>
      </c>
      <c r="B46" s="249" t="s">
        <v>66</v>
      </c>
      <c r="C46" s="227">
        <v>459.15719999999999</v>
      </c>
      <c r="D46" s="227">
        <f t="shared" si="18"/>
        <v>0</v>
      </c>
      <c r="E46" s="231">
        <v>0</v>
      </c>
      <c r="F46" s="227"/>
      <c r="G46" s="211">
        <f t="shared" si="2"/>
        <v>0</v>
      </c>
      <c r="H46" s="212"/>
      <c r="I46" s="263"/>
      <c r="J46" s="261"/>
      <c r="K46" s="261"/>
      <c r="L46" s="204"/>
    </row>
    <row r="47" spans="1:12" s="205" customFormat="1" ht="15.6" customHeight="1" x14ac:dyDescent="0.3">
      <c r="A47" s="256" t="s">
        <v>105</v>
      </c>
      <c r="B47" s="249" t="s">
        <v>234</v>
      </c>
      <c r="C47" s="231">
        <v>1566.864</v>
      </c>
      <c r="D47" s="227">
        <f t="shared" si="18"/>
        <v>1566.864</v>
      </c>
      <c r="E47" s="231">
        <v>783.43200000000002</v>
      </c>
      <c r="F47" s="227">
        <f t="shared" si="19"/>
        <v>783.43200000000002</v>
      </c>
      <c r="G47" s="228">
        <f t="shared" si="2"/>
        <v>100</v>
      </c>
      <c r="H47" s="212"/>
      <c r="I47" s="215"/>
      <c r="J47" s="215"/>
      <c r="K47" s="215"/>
      <c r="L47" s="204"/>
    </row>
    <row r="48" spans="1:12" s="205" customFormat="1" ht="15.6" customHeight="1" x14ac:dyDescent="0.3">
      <c r="A48" s="256" t="s">
        <v>105</v>
      </c>
      <c r="B48" s="249" t="s">
        <v>107</v>
      </c>
      <c r="C48" s="231">
        <v>1305.72</v>
      </c>
      <c r="D48" s="227">
        <f t="shared" si="18"/>
        <v>1305.72</v>
      </c>
      <c r="E48" s="231">
        <v>652.86</v>
      </c>
      <c r="F48" s="227">
        <f t="shared" si="19"/>
        <v>652.86</v>
      </c>
      <c r="G48" s="228">
        <f t="shared" si="2"/>
        <v>100</v>
      </c>
      <c r="H48" s="212"/>
      <c r="I48" s="215"/>
      <c r="J48" s="215"/>
      <c r="K48" s="215"/>
      <c r="L48" s="204"/>
    </row>
    <row r="49" spans="1:13" s="205" customFormat="1" ht="15.6" customHeight="1" x14ac:dyDescent="0.3">
      <c r="A49" s="256" t="s">
        <v>105</v>
      </c>
      <c r="B49" s="249" t="s">
        <v>108</v>
      </c>
      <c r="C49" s="231">
        <v>70.199999999999989</v>
      </c>
      <c r="D49" s="227">
        <f t="shared" si="18"/>
        <v>70.199999999999989</v>
      </c>
      <c r="E49" s="231">
        <v>35.099999999999994</v>
      </c>
      <c r="F49" s="227">
        <f t="shared" si="19"/>
        <v>35.099999999999994</v>
      </c>
      <c r="G49" s="228">
        <f t="shared" si="2"/>
        <v>100</v>
      </c>
      <c r="H49" s="212"/>
      <c r="I49" s="215"/>
      <c r="J49" s="215"/>
      <c r="K49" s="215"/>
      <c r="L49" s="204"/>
    </row>
    <row r="50" spans="1:13" s="205" customFormat="1" ht="15.6" customHeight="1" x14ac:dyDescent="0.3">
      <c r="A50" s="256" t="s">
        <v>105</v>
      </c>
      <c r="B50" s="249" t="s">
        <v>235</v>
      </c>
      <c r="C50" s="231">
        <v>223.2</v>
      </c>
      <c r="D50" s="227">
        <f t="shared" si="18"/>
        <v>223.2</v>
      </c>
      <c r="E50" s="231">
        <v>111.6</v>
      </c>
      <c r="F50" s="227">
        <f t="shared" si="19"/>
        <v>111.6</v>
      </c>
      <c r="G50" s="228">
        <f t="shared" si="2"/>
        <v>100</v>
      </c>
      <c r="H50" s="212"/>
      <c r="I50" s="215"/>
      <c r="J50" s="215"/>
      <c r="K50" s="215"/>
      <c r="L50" s="204"/>
    </row>
    <row r="51" spans="1:13" s="205" customFormat="1" ht="15.6" customHeight="1" x14ac:dyDescent="0.3">
      <c r="A51" s="256" t="s">
        <v>105</v>
      </c>
      <c r="B51" s="249" t="s">
        <v>110</v>
      </c>
      <c r="C51" s="231">
        <v>435.23999999999995</v>
      </c>
      <c r="D51" s="227">
        <f t="shared" si="18"/>
        <v>435.23999999999995</v>
      </c>
      <c r="E51" s="231">
        <v>217.61999999999998</v>
      </c>
      <c r="F51" s="227">
        <f t="shared" si="19"/>
        <v>217.61999999999998</v>
      </c>
      <c r="G51" s="228">
        <f t="shared" si="2"/>
        <v>100</v>
      </c>
      <c r="H51" s="212"/>
      <c r="I51" s="215"/>
      <c r="J51" s="215"/>
      <c r="K51" s="215"/>
      <c r="L51" s="204"/>
    </row>
    <row r="52" spans="1:13" s="205" customFormat="1" ht="15.6" customHeight="1" x14ac:dyDescent="0.3">
      <c r="A52" s="256" t="s">
        <v>105</v>
      </c>
      <c r="B52" s="249" t="s">
        <v>111</v>
      </c>
      <c r="C52" s="231">
        <v>690.76799999999992</v>
      </c>
      <c r="D52" s="227">
        <f t="shared" si="18"/>
        <v>690.76799999999992</v>
      </c>
      <c r="E52" s="231">
        <v>345.38399999999996</v>
      </c>
      <c r="F52" s="227">
        <f t="shared" si="19"/>
        <v>345.38399999999996</v>
      </c>
      <c r="G52" s="228">
        <f t="shared" si="2"/>
        <v>100</v>
      </c>
      <c r="H52" s="212"/>
      <c r="I52" s="215"/>
      <c r="J52" s="215"/>
      <c r="K52" s="215"/>
      <c r="L52" s="204"/>
    </row>
    <row r="53" spans="1:13" s="205" customFormat="1" ht="15.6" customHeight="1" x14ac:dyDescent="0.3">
      <c r="A53" s="256" t="s">
        <v>49</v>
      </c>
      <c r="B53" s="249" t="s">
        <v>236</v>
      </c>
      <c r="C53" s="231">
        <v>1632</v>
      </c>
      <c r="D53" s="227">
        <f t="shared" si="18"/>
        <v>1632</v>
      </c>
      <c r="E53" s="231">
        <v>1632</v>
      </c>
      <c r="F53" s="227">
        <f t="shared" si="19"/>
        <v>0</v>
      </c>
      <c r="G53" s="228">
        <f t="shared" si="2"/>
        <v>100</v>
      </c>
      <c r="H53" s="212"/>
      <c r="I53" s="203"/>
      <c r="J53" s="203"/>
      <c r="K53" s="203"/>
      <c r="L53" s="204"/>
    </row>
    <row r="54" spans="1:13" s="205" customFormat="1" ht="15.6" customHeight="1" x14ac:dyDescent="0.3">
      <c r="A54" s="256" t="s">
        <v>105</v>
      </c>
      <c r="B54" s="249" t="s">
        <v>237</v>
      </c>
      <c r="C54" s="231">
        <v>388.5</v>
      </c>
      <c r="D54" s="227">
        <f t="shared" si="18"/>
        <v>388.5</v>
      </c>
      <c r="E54" s="231">
        <v>194.26</v>
      </c>
      <c r="F54" s="227">
        <f t="shared" si="19"/>
        <v>194.24</v>
      </c>
      <c r="G54" s="228">
        <f t="shared" si="2"/>
        <v>100</v>
      </c>
      <c r="H54" s="212"/>
      <c r="I54" s="215"/>
      <c r="J54" s="203"/>
      <c r="K54" s="203"/>
      <c r="L54" s="204"/>
    </row>
    <row r="55" spans="1:13" s="205" customFormat="1" ht="15.6" customHeight="1" x14ac:dyDescent="0.3">
      <c r="A55" s="256" t="s">
        <v>49</v>
      </c>
      <c r="B55" s="249" t="s">
        <v>238</v>
      </c>
      <c r="C55" s="231">
        <v>40</v>
      </c>
      <c r="D55" s="227">
        <f t="shared" si="18"/>
        <v>40</v>
      </c>
      <c r="E55" s="231">
        <v>0</v>
      </c>
      <c r="F55" s="227">
        <f t="shared" si="19"/>
        <v>40</v>
      </c>
      <c r="G55" s="228">
        <f t="shared" si="2"/>
        <v>100</v>
      </c>
      <c r="H55" s="212"/>
      <c r="I55" s="203"/>
      <c r="J55" s="203"/>
      <c r="K55" s="203"/>
      <c r="L55" s="204"/>
    </row>
    <row r="56" spans="1:13" s="205" customFormat="1" ht="15.6" customHeight="1" x14ac:dyDescent="0.3">
      <c r="A56" s="256" t="s">
        <v>49</v>
      </c>
      <c r="B56" s="249" t="s">
        <v>125</v>
      </c>
      <c r="C56" s="231">
        <v>30</v>
      </c>
      <c r="D56" s="227">
        <f t="shared" si="18"/>
        <v>30</v>
      </c>
      <c r="E56" s="231">
        <v>0</v>
      </c>
      <c r="F56" s="227">
        <f t="shared" si="19"/>
        <v>30</v>
      </c>
      <c r="G56" s="228">
        <f t="shared" si="2"/>
        <v>100</v>
      </c>
      <c r="H56" s="212"/>
      <c r="I56" s="203"/>
      <c r="J56" s="203"/>
      <c r="K56" s="203"/>
      <c r="L56" s="204"/>
    </row>
    <row r="57" spans="1:13" s="205" customFormat="1" ht="15.6" customHeight="1" x14ac:dyDescent="0.3">
      <c r="A57" s="256" t="s">
        <v>49</v>
      </c>
      <c r="B57" s="249" t="s">
        <v>126</v>
      </c>
      <c r="C57" s="231">
        <v>15</v>
      </c>
      <c r="D57" s="227">
        <f t="shared" si="18"/>
        <v>15</v>
      </c>
      <c r="E57" s="231">
        <v>0</v>
      </c>
      <c r="F57" s="227">
        <f t="shared" si="19"/>
        <v>15</v>
      </c>
      <c r="G57" s="228">
        <f t="shared" si="2"/>
        <v>100</v>
      </c>
      <c r="H57" s="212"/>
      <c r="I57" s="203"/>
      <c r="J57" s="203"/>
      <c r="K57" s="203"/>
      <c r="L57" s="204"/>
    </row>
    <row r="58" spans="1:13" s="205" customFormat="1" ht="15.6" customHeight="1" x14ac:dyDescent="0.3">
      <c r="A58" s="256" t="s">
        <v>49</v>
      </c>
      <c r="B58" s="249" t="s">
        <v>239</v>
      </c>
      <c r="C58" s="231">
        <f>100</f>
        <v>100</v>
      </c>
      <c r="D58" s="227">
        <f t="shared" si="18"/>
        <v>100</v>
      </c>
      <c r="E58" s="231">
        <v>0</v>
      </c>
      <c r="F58" s="227">
        <f t="shared" si="19"/>
        <v>100</v>
      </c>
      <c r="G58" s="228">
        <f t="shared" si="2"/>
        <v>100</v>
      </c>
      <c r="H58" s="212"/>
      <c r="I58" s="203"/>
      <c r="J58" s="203"/>
      <c r="K58" s="203"/>
      <c r="L58" s="204"/>
    </row>
    <row r="59" spans="1:13" s="205" customFormat="1" ht="15.6" customHeight="1" x14ac:dyDescent="0.3">
      <c r="A59" s="256" t="s">
        <v>49</v>
      </c>
      <c r="B59" s="249" t="s">
        <v>240</v>
      </c>
      <c r="C59" s="231">
        <v>1723.2</v>
      </c>
      <c r="D59" s="227">
        <f t="shared" si="18"/>
        <v>1723.2</v>
      </c>
      <c r="E59" s="231">
        <v>1723.2</v>
      </c>
      <c r="F59" s="257">
        <f t="shared" si="19"/>
        <v>0</v>
      </c>
      <c r="G59" s="228">
        <f t="shared" si="2"/>
        <v>100</v>
      </c>
      <c r="H59" s="212"/>
      <c r="I59" s="203"/>
      <c r="J59" s="203"/>
      <c r="K59" s="203"/>
      <c r="L59" s="204"/>
    </row>
    <row r="60" spans="1:13" s="205" customFormat="1" ht="15.6" customHeight="1" x14ac:dyDescent="0.25">
      <c r="A60" s="216" t="s">
        <v>128</v>
      </c>
      <c r="B60" s="217" t="s">
        <v>129</v>
      </c>
      <c r="C60" s="218">
        <f t="shared" ref="C60:F60" si="20">SUM(C61:C72)</f>
        <v>7898.3593103239991</v>
      </c>
      <c r="D60" s="218">
        <f t="shared" si="20"/>
        <v>7898.3593103239991</v>
      </c>
      <c r="E60" s="218">
        <f t="shared" si="20"/>
        <v>2358.9669180000001</v>
      </c>
      <c r="F60" s="218">
        <f t="shared" si="20"/>
        <v>5539.392392324</v>
      </c>
      <c r="G60" s="255">
        <f t="shared" si="2"/>
        <v>100</v>
      </c>
      <c r="H60" s="212"/>
      <c r="I60" s="243"/>
      <c r="J60" s="203"/>
      <c r="K60" s="203"/>
      <c r="L60" s="264"/>
      <c r="M60" s="265"/>
    </row>
    <row r="61" spans="1:13" s="205" customFormat="1" ht="15.6" customHeight="1" x14ac:dyDescent="0.25">
      <c r="A61" s="256" t="s">
        <v>49</v>
      </c>
      <c r="B61" s="249" t="s">
        <v>104</v>
      </c>
      <c r="C61" s="227">
        <v>2315.20782568</v>
      </c>
      <c r="D61" s="227">
        <f>E61+F61</f>
        <v>2315.20782568</v>
      </c>
      <c r="E61" s="266">
        <v>749.01183600000002</v>
      </c>
      <c r="F61" s="227">
        <v>1566.1959896799999</v>
      </c>
      <c r="G61" s="228">
        <f t="shared" si="2"/>
        <v>100</v>
      </c>
      <c r="H61" s="212"/>
      <c r="I61" s="215"/>
      <c r="J61" s="215"/>
      <c r="K61" s="215"/>
      <c r="L61" s="204"/>
      <c r="M61" s="220"/>
    </row>
    <row r="62" spans="1:13" s="205" customFormat="1" ht="15.6" customHeight="1" x14ac:dyDescent="0.3">
      <c r="A62" s="256" t="s">
        <v>49</v>
      </c>
      <c r="B62" s="249" t="s">
        <v>65</v>
      </c>
      <c r="C62" s="227">
        <v>383.98026464400004</v>
      </c>
      <c r="D62" s="227">
        <f>E62+F62</f>
        <v>383.98026464400004</v>
      </c>
      <c r="E62" s="231">
        <v>95.303082000000003</v>
      </c>
      <c r="F62" s="227">
        <v>288.67718264400003</v>
      </c>
      <c r="G62" s="228">
        <f t="shared" si="2"/>
        <v>100</v>
      </c>
      <c r="H62" s="212"/>
      <c r="I62" s="215"/>
      <c r="J62" s="215"/>
      <c r="K62" s="215"/>
      <c r="L62" s="204"/>
    </row>
    <row r="63" spans="1:13" s="205" customFormat="1" ht="15.6" customHeight="1" x14ac:dyDescent="0.3">
      <c r="A63" s="256" t="s">
        <v>49</v>
      </c>
      <c r="B63" s="249" t="s">
        <v>241</v>
      </c>
      <c r="C63" s="231">
        <v>1200</v>
      </c>
      <c r="D63" s="227">
        <f t="shared" ref="D63:D72" si="21">E63+F63</f>
        <v>1200</v>
      </c>
      <c r="E63" s="231">
        <v>0</v>
      </c>
      <c r="F63" s="227">
        <f>C63-E63</f>
        <v>1200</v>
      </c>
      <c r="G63" s="228">
        <f t="shared" si="2"/>
        <v>100</v>
      </c>
      <c r="H63" s="212"/>
      <c r="I63" s="215"/>
      <c r="J63" s="215"/>
      <c r="K63" s="215"/>
      <c r="L63" s="204"/>
    </row>
    <row r="64" spans="1:13" s="205" customFormat="1" ht="15.6" customHeight="1" x14ac:dyDescent="0.3">
      <c r="A64" s="256" t="s">
        <v>105</v>
      </c>
      <c r="B64" s="249" t="s">
        <v>130</v>
      </c>
      <c r="C64" s="227">
        <v>200.14722</v>
      </c>
      <c r="D64" s="227">
        <f t="shared" si="21"/>
        <v>200.14722</v>
      </c>
      <c r="E64" s="227">
        <v>0</v>
      </c>
      <c r="F64" s="227">
        <v>200.14722</v>
      </c>
      <c r="G64" s="228">
        <f t="shared" si="2"/>
        <v>100</v>
      </c>
      <c r="H64" s="212"/>
      <c r="I64" s="215"/>
      <c r="J64" s="215"/>
      <c r="K64" s="215"/>
      <c r="L64" s="204"/>
    </row>
    <row r="65" spans="1:12" s="205" customFormat="1" ht="15.6" customHeight="1" x14ac:dyDescent="0.25">
      <c r="A65" s="256" t="s">
        <v>105</v>
      </c>
      <c r="B65" s="267" t="s">
        <v>133</v>
      </c>
      <c r="C65" s="266">
        <v>185.328</v>
      </c>
      <c r="D65" s="227">
        <f t="shared" si="21"/>
        <v>185.328</v>
      </c>
      <c r="E65" s="266">
        <v>92.663999999999987</v>
      </c>
      <c r="F65" s="227">
        <f t="shared" ref="F65:F72" si="22">C65-E65</f>
        <v>92.664000000000016</v>
      </c>
      <c r="G65" s="228">
        <f t="shared" si="2"/>
        <v>100</v>
      </c>
      <c r="H65" s="212"/>
      <c r="I65" s="182"/>
      <c r="J65" s="215"/>
      <c r="K65" s="215"/>
      <c r="L65" s="204"/>
    </row>
    <row r="66" spans="1:12" s="205" customFormat="1" ht="15.6" customHeight="1" x14ac:dyDescent="0.25">
      <c r="A66" s="256" t="s">
        <v>105</v>
      </c>
      <c r="B66" s="267" t="s">
        <v>242</v>
      </c>
      <c r="C66" s="266">
        <v>1600.56</v>
      </c>
      <c r="D66" s="227">
        <f t="shared" si="21"/>
        <v>1600.56</v>
      </c>
      <c r="E66" s="266">
        <v>800.28</v>
      </c>
      <c r="F66" s="227">
        <f t="shared" si="22"/>
        <v>800.28</v>
      </c>
      <c r="G66" s="228">
        <f t="shared" si="2"/>
        <v>100</v>
      </c>
      <c r="H66" s="212"/>
      <c r="I66" s="182"/>
      <c r="J66" s="215"/>
      <c r="K66" s="254"/>
      <c r="L66" s="204"/>
    </row>
    <row r="67" spans="1:12" s="205" customFormat="1" ht="15.6" customHeight="1" x14ac:dyDescent="0.25">
      <c r="A67" s="256" t="s">
        <v>105</v>
      </c>
      <c r="B67" s="267" t="s">
        <v>116</v>
      </c>
      <c r="C67" s="266">
        <v>800.28</v>
      </c>
      <c r="D67" s="227">
        <f t="shared" si="21"/>
        <v>800.28</v>
      </c>
      <c r="E67" s="266">
        <v>400.14</v>
      </c>
      <c r="F67" s="227">
        <f t="shared" si="22"/>
        <v>400.14</v>
      </c>
      <c r="G67" s="228">
        <f t="shared" si="2"/>
        <v>100</v>
      </c>
      <c r="H67" s="212"/>
      <c r="I67" s="182"/>
      <c r="J67" s="215"/>
      <c r="K67" s="215"/>
      <c r="L67" s="204"/>
    </row>
    <row r="68" spans="1:12" s="205" customFormat="1" ht="15.6" customHeight="1" x14ac:dyDescent="0.25">
      <c r="A68" s="256" t="s">
        <v>105</v>
      </c>
      <c r="B68" s="267" t="s">
        <v>117</v>
      </c>
      <c r="C68" s="266">
        <v>331.34399999999999</v>
      </c>
      <c r="D68" s="227">
        <f t="shared" si="21"/>
        <v>331.34399999999999</v>
      </c>
      <c r="E68" s="266">
        <v>165.672</v>
      </c>
      <c r="F68" s="227">
        <f t="shared" si="22"/>
        <v>165.672</v>
      </c>
      <c r="G68" s="228">
        <f t="shared" si="2"/>
        <v>100</v>
      </c>
      <c r="H68" s="212"/>
      <c r="I68" s="182"/>
      <c r="J68" s="215"/>
      <c r="K68" s="215"/>
      <c r="L68" s="204"/>
    </row>
    <row r="69" spans="1:12" s="205" customFormat="1" ht="15.6" customHeight="1" x14ac:dyDescent="0.25">
      <c r="A69" s="256" t="s">
        <v>105</v>
      </c>
      <c r="B69" s="267" t="s">
        <v>243</v>
      </c>
      <c r="C69" s="266">
        <v>109.512</v>
      </c>
      <c r="D69" s="227">
        <f t="shared" si="21"/>
        <v>109.512</v>
      </c>
      <c r="E69" s="231">
        <v>30.096</v>
      </c>
      <c r="F69" s="227">
        <f t="shared" si="22"/>
        <v>79.415999999999997</v>
      </c>
      <c r="G69" s="228">
        <f t="shared" si="2"/>
        <v>100</v>
      </c>
      <c r="H69" s="212"/>
      <c r="I69" s="182"/>
      <c r="J69" s="215"/>
      <c r="K69" s="215"/>
      <c r="L69" s="204"/>
    </row>
    <row r="70" spans="1:12" s="205" customFormat="1" ht="15.6" customHeight="1" x14ac:dyDescent="0.25">
      <c r="A70" s="256" t="s">
        <v>105</v>
      </c>
      <c r="B70" s="267" t="s">
        <v>244</v>
      </c>
      <c r="C70" s="266">
        <v>200</v>
      </c>
      <c r="D70" s="227">
        <f t="shared" si="21"/>
        <v>200</v>
      </c>
      <c r="E70" s="231">
        <v>25.8</v>
      </c>
      <c r="F70" s="227">
        <f t="shared" si="22"/>
        <v>174.2</v>
      </c>
      <c r="G70" s="228">
        <f t="shared" si="2"/>
        <v>100</v>
      </c>
      <c r="H70" s="212"/>
      <c r="I70" s="182"/>
      <c r="J70" s="215"/>
      <c r="K70" s="215"/>
      <c r="L70" s="204"/>
    </row>
    <row r="71" spans="1:12" s="205" customFormat="1" ht="27.6" x14ac:dyDescent="0.25">
      <c r="A71" s="256" t="s">
        <v>49</v>
      </c>
      <c r="B71" s="268" t="s">
        <v>137</v>
      </c>
      <c r="C71" s="231">
        <v>422</v>
      </c>
      <c r="D71" s="227">
        <f t="shared" si="21"/>
        <v>422</v>
      </c>
      <c r="E71" s="231">
        <v>0</v>
      </c>
      <c r="F71" s="227">
        <f t="shared" si="22"/>
        <v>422</v>
      </c>
      <c r="G71" s="228">
        <f t="shared" si="2"/>
        <v>100</v>
      </c>
      <c r="H71" s="212"/>
      <c r="I71" s="215"/>
      <c r="J71" s="203"/>
      <c r="K71" s="203"/>
      <c r="L71" s="204"/>
    </row>
    <row r="72" spans="1:12" s="191" customFormat="1" ht="19.2" customHeight="1" x14ac:dyDescent="0.3">
      <c r="A72" s="256" t="s">
        <v>49</v>
      </c>
      <c r="B72" s="269" t="s">
        <v>240</v>
      </c>
      <c r="C72" s="270">
        <v>150</v>
      </c>
      <c r="D72" s="227">
        <f t="shared" si="21"/>
        <v>150</v>
      </c>
      <c r="E72" s="270"/>
      <c r="F72" s="227">
        <f t="shared" si="22"/>
        <v>150</v>
      </c>
      <c r="G72" s="228">
        <f t="shared" si="2"/>
        <v>100</v>
      </c>
      <c r="H72" s="212"/>
      <c r="I72" s="189"/>
      <c r="J72" s="189"/>
      <c r="K72" s="189"/>
      <c r="L72" s="190"/>
    </row>
    <row r="73" spans="1:12" s="205" customFormat="1" ht="15.6" customHeight="1" x14ac:dyDescent="0.3">
      <c r="A73" s="216" t="s">
        <v>139</v>
      </c>
      <c r="B73" s="217" t="s">
        <v>140</v>
      </c>
      <c r="C73" s="218">
        <f t="shared" ref="C73:F73" si="23">SUM(C74:C84)</f>
        <v>4483.3914720000002</v>
      </c>
      <c r="D73" s="218">
        <f t="shared" si="23"/>
        <v>4483.3914720000002</v>
      </c>
      <c r="E73" s="218">
        <f t="shared" si="23"/>
        <v>2195.199520675214</v>
      </c>
      <c r="F73" s="218">
        <f t="shared" si="23"/>
        <v>2288.1919513247863</v>
      </c>
      <c r="G73" s="255">
        <f t="shared" si="2"/>
        <v>100</v>
      </c>
      <c r="H73" s="212"/>
      <c r="I73" s="243"/>
      <c r="J73" s="203"/>
      <c r="K73" s="203"/>
      <c r="L73" s="204"/>
    </row>
    <row r="74" spans="1:12" s="205" customFormat="1" ht="15.6" customHeight="1" x14ac:dyDescent="0.3">
      <c r="A74" s="256" t="s">
        <v>49</v>
      </c>
      <c r="B74" s="249" t="s">
        <v>104</v>
      </c>
      <c r="C74" s="227">
        <v>2023.5335520000001</v>
      </c>
      <c r="D74" s="227">
        <f>E74+F74</f>
        <v>2023.5335520000001</v>
      </c>
      <c r="E74" s="231">
        <v>1124.0476140000001</v>
      </c>
      <c r="F74" s="227">
        <v>899.48593800000003</v>
      </c>
      <c r="G74" s="228">
        <f t="shared" ref="G74:G113" si="24">D74/C74*100</f>
        <v>100</v>
      </c>
      <c r="H74" s="212"/>
      <c r="I74" s="197"/>
      <c r="J74" s="215"/>
      <c r="K74" s="215"/>
      <c r="L74" s="204"/>
    </row>
    <row r="75" spans="1:12" s="205" customFormat="1" ht="15.6" customHeight="1" x14ac:dyDescent="0.3">
      <c r="A75" s="256" t="s">
        <v>49</v>
      </c>
      <c r="B75" s="249" t="s">
        <v>65</v>
      </c>
      <c r="C75" s="227">
        <v>413</v>
      </c>
      <c r="D75" s="227">
        <f>E75+F75</f>
        <v>413</v>
      </c>
      <c r="E75" s="231">
        <v>238.57990667521369</v>
      </c>
      <c r="F75" s="227">
        <v>174.42009332478631</v>
      </c>
      <c r="G75" s="228">
        <f t="shared" si="24"/>
        <v>100</v>
      </c>
      <c r="H75" s="212"/>
      <c r="I75" s="197"/>
      <c r="J75" s="215"/>
      <c r="K75" s="215"/>
      <c r="L75" s="204"/>
    </row>
    <row r="76" spans="1:12" s="205" customFormat="1" ht="15.6" customHeight="1" x14ac:dyDescent="0.3">
      <c r="A76" s="256" t="s">
        <v>49</v>
      </c>
      <c r="B76" s="249" t="s">
        <v>66</v>
      </c>
      <c r="C76" s="227">
        <v>131.71392</v>
      </c>
      <c r="D76" s="227">
        <f>E76+F76</f>
        <v>131.71392</v>
      </c>
      <c r="E76" s="227"/>
      <c r="F76" s="227">
        <v>131.71392</v>
      </c>
      <c r="G76" s="228">
        <f t="shared" si="24"/>
        <v>100</v>
      </c>
      <c r="H76" s="212"/>
      <c r="I76" s="197"/>
      <c r="J76" s="215"/>
      <c r="K76" s="215"/>
      <c r="L76" s="204"/>
    </row>
    <row r="77" spans="1:12" s="205" customFormat="1" ht="15.6" customHeight="1" x14ac:dyDescent="0.25">
      <c r="A77" s="256" t="s">
        <v>105</v>
      </c>
      <c r="B77" s="249" t="s">
        <v>245</v>
      </c>
      <c r="C77" s="231">
        <v>272.37599999999998</v>
      </c>
      <c r="D77" s="227">
        <f t="shared" ref="D77:D84" si="25">E77+F77</f>
        <v>272.37599999999998</v>
      </c>
      <c r="E77" s="231">
        <v>136.18799999999999</v>
      </c>
      <c r="F77" s="227">
        <v>136.18799999999999</v>
      </c>
      <c r="G77" s="228">
        <f t="shared" si="24"/>
        <v>100</v>
      </c>
      <c r="H77" s="212"/>
      <c r="I77" s="215"/>
      <c r="J77" s="215"/>
      <c r="K77" s="254"/>
      <c r="L77" s="204"/>
    </row>
    <row r="78" spans="1:12" s="205" customFormat="1" ht="15.6" customHeight="1" x14ac:dyDescent="0.3">
      <c r="A78" s="256" t="s">
        <v>105</v>
      </c>
      <c r="B78" s="249" t="s">
        <v>119</v>
      </c>
      <c r="C78" s="231">
        <v>348.19200000000001</v>
      </c>
      <c r="D78" s="227">
        <f t="shared" si="25"/>
        <v>348.19200000000001</v>
      </c>
      <c r="E78" s="231">
        <v>174.096</v>
      </c>
      <c r="F78" s="227">
        <v>174.096</v>
      </c>
      <c r="G78" s="228">
        <f t="shared" si="24"/>
        <v>100</v>
      </c>
      <c r="H78" s="212"/>
      <c r="I78" s="215"/>
      <c r="J78" s="215"/>
      <c r="K78" s="215"/>
      <c r="L78" s="204"/>
    </row>
    <row r="79" spans="1:12" s="205" customFormat="1" ht="15.6" customHeight="1" x14ac:dyDescent="0.3">
      <c r="A79" s="256" t="s">
        <v>105</v>
      </c>
      <c r="B79" s="249" t="s">
        <v>120</v>
      </c>
      <c r="C79" s="231">
        <v>348.19200000000001</v>
      </c>
      <c r="D79" s="227">
        <f t="shared" si="25"/>
        <v>348.19200000000001</v>
      </c>
      <c r="E79" s="231">
        <v>174.096</v>
      </c>
      <c r="F79" s="227">
        <v>174.096</v>
      </c>
      <c r="G79" s="228">
        <f t="shared" si="24"/>
        <v>100</v>
      </c>
      <c r="H79" s="212"/>
      <c r="I79" s="215"/>
      <c r="J79" s="215"/>
      <c r="K79" s="215"/>
      <c r="L79" s="204"/>
    </row>
    <row r="80" spans="1:12" s="205" customFormat="1" ht="15.6" customHeight="1" x14ac:dyDescent="0.3">
      <c r="A80" s="256" t="s">
        <v>105</v>
      </c>
      <c r="B80" s="249" t="s">
        <v>121</v>
      </c>
      <c r="C80" s="231">
        <v>348.19200000000001</v>
      </c>
      <c r="D80" s="227">
        <f t="shared" si="25"/>
        <v>348.19200000000001</v>
      </c>
      <c r="E80" s="231">
        <v>174.096</v>
      </c>
      <c r="F80" s="227">
        <v>174.096</v>
      </c>
      <c r="G80" s="228">
        <f t="shared" si="24"/>
        <v>100</v>
      </c>
      <c r="H80" s="212"/>
      <c r="I80" s="215"/>
      <c r="J80" s="215"/>
      <c r="K80" s="215"/>
      <c r="L80" s="204"/>
    </row>
    <row r="81" spans="1:13" s="205" customFormat="1" ht="15.6" customHeight="1" x14ac:dyDescent="0.25">
      <c r="A81" s="256" t="s">
        <v>105</v>
      </c>
      <c r="B81" s="249" t="s">
        <v>122</v>
      </c>
      <c r="C81" s="231">
        <v>348.19200000000001</v>
      </c>
      <c r="D81" s="227">
        <f t="shared" si="25"/>
        <v>348.19200000000001</v>
      </c>
      <c r="E81" s="231">
        <v>174.096</v>
      </c>
      <c r="F81" s="227">
        <v>174.096</v>
      </c>
      <c r="G81" s="228">
        <f t="shared" si="24"/>
        <v>100</v>
      </c>
      <c r="H81" s="212"/>
      <c r="I81" s="215"/>
      <c r="J81" s="215"/>
      <c r="K81" s="254"/>
      <c r="L81" s="204"/>
    </row>
    <row r="82" spans="1:13" s="205" customFormat="1" ht="27.6" x14ac:dyDescent="0.3">
      <c r="A82" s="256" t="s">
        <v>49</v>
      </c>
      <c r="B82" s="249" t="s">
        <v>246</v>
      </c>
      <c r="C82" s="231">
        <v>10</v>
      </c>
      <c r="D82" s="227">
        <f t="shared" si="25"/>
        <v>10</v>
      </c>
      <c r="E82" s="231">
        <v>0</v>
      </c>
      <c r="F82" s="227">
        <v>10</v>
      </c>
      <c r="G82" s="228">
        <f t="shared" si="24"/>
        <v>100</v>
      </c>
      <c r="H82" s="212"/>
      <c r="I82" s="215"/>
      <c r="J82" s="203"/>
      <c r="K82" s="203"/>
      <c r="L82" s="204"/>
    </row>
    <row r="83" spans="1:13" s="205" customFormat="1" ht="16.8" customHeight="1" x14ac:dyDescent="0.3">
      <c r="A83" s="256" t="s">
        <v>49</v>
      </c>
      <c r="B83" s="249" t="s">
        <v>247</v>
      </c>
      <c r="C83" s="231">
        <v>80</v>
      </c>
      <c r="D83" s="227">
        <f t="shared" si="25"/>
        <v>80</v>
      </c>
      <c r="E83" s="231">
        <v>0</v>
      </c>
      <c r="F83" s="227">
        <v>80</v>
      </c>
      <c r="G83" s="228">
        <f t="shared" si="24"/>
        <v>100</v>
      </c>
      <c r="H83" s="212"/>
      <c r="I83" s="215"/>
      <c r="J83" s="203"/>
      <c r="K83" s="203"/>
      <c r="L83" s="204"/>
    </row>
    <row r="84" spans="1:13" s="205" customFormat="1" ht="16.8" customHeight="1" x14ac:dyDescent="0.3">
      <c r="A84" s="256" t="s">
        <v>49</v>
      </c>
      <c r="B84" s="249" t="s">
        <v>248</v>
      </c>
      <c r="C84" s="231">
        <v>160</v>
      </c>
      <c r="D84" s="227">
        <f t="shared" si="25"/>
        <v>160</v>
      </c>
      <c r="E84" s="231">
        <v>0</v>
      </c>
      <c r="F84" s="227">
        <v>160</v>
      </c>
      <c r="G84" s="228">
        <f t="shared" si="24"/>
        <v>100</v>
      </c>
      <c r="H84" s="212"/>
      <c r="I84" s="215"/>
      <c r="J84" s="203"/>
      <c r="K84" s="203"/>
      <c r="L84" s="204"/>
    </row>
    <row r="85" spans="1:13" s="205" customFormat="1" ht="16.8" customHeight="1" x14ac:dyDescent="0.3">
      <c r="A85" s="216">
        <v>9</v>
      </c>
      <c r="B85" s="217" t="s">
        <v>146</v>
      </c>
      <c r="C85" s="218">
        <f t="shared" ref="C85:F85" si="26">C86</f>
        <v>702</v>
      </c>
      <c r="D85" s="218">
        <f t="shared" si="26"/>
        <v>343</v>
      </c>
      <c r="E85" s="218">
        <f t="shared" si="26"/>
        <v>113</v>
      </c>
      <c r="F85" s="218">
        <f t="shared" si="26"/>
        <v>230</v>
      </c>
      <c r="G85" s="211">
        <f t="shared" si="24"/>
        <v>48.86039886039886</v>
      </c>
      <c r="H85" s="212"/>
      <c r="I85" s="215"/>
      <c r="J85" s="203"/>
      <c r="K85" s="203"/>
      <c r="L85" s="204"/>
    </row>
    <row r="86" spans="1:13" s="199" customFormat="1" ht="13.8" hidden="1" x14ac:dyDescent="0.3">
      <c r="A86" s="256" t="s">
        <v>49</v>
      </c>
      <c r="B86" s="249" t="s">
        <v>147</v>
      </c>
      <c r="C86" s="228">
        <f>702</f>
        <v>702</v>
      </c>
      <c r="D86" s="228">
        <f>E86+F86</f>
        <v>343</v>
      </c>
      <c r="E86" s="231">
        <v>113</v>
      </c>
      <c r="F86" s="227">
        <v>230</v>
      </c>
      <c r="G86" s="211">
        <f t="shared" si="24"/>
        <v>48.86039886039886</v>
      </c>
      <c r="H86" s="212"/>
      <c r="I86" s="182"/>
      <c r="J86" s="182"/>
      <c r="K86" s="182"/>
      <c r="L86" s="183"/>
    </row>
    <row r="87" spans="1:13" s="239" customFormat="1" ht="13.8" hidden="1" x14ac:dyDescent="0.3">
      <c r="A87" s="271"/>
      <c r="B87" s="272" t="s">
        <v>249</v>
      </c>
      <c r="C87" s="273"/>
      <c r="D87" s="273"/>
      <c r="E87" s="273"/>
      <c r="F87" s="273">
        <f>250-90</f>
        <v>160</v>
      </c>
      <c r="G87" s="211"/>
      <c r="H87" s="212"/>
      <c r="I87" s="237"/>
      <c r="J87" s="237"/>
      <c r="K87" s="237"/>
      <c r="L87" s="238"/>
    </row>
    <row r="88" spans="1:13" s="239" customFormat="1" ht="13.8" hidden="1" x14ac:dyDescent="0.3">
      <c r="A88" s="271"/>
      <c r="B88" s="272" t="s">
        <v>250</v>
      </c>
      <c r="C88" s="273"/>
      <c r="D88" s="273"/>
      <c r="E88" s="273"/>
      <c r="F88" s="273">
        <v>70</v>
      </c>
      <c r="G88" s="211"/>
      <c r="H88" s="212"/>
      <c r="I88" s="237"/>
      <c r="J88" s="237"/>
      <c r="K88" s="237"/>
      <c r="L88" s="238"/>
    </row>
    <row r="89" spans="1:13" s="239" customFormat="1" ht="13.8" hidden="1" x14ac:dyDescent="0.3">
      <c r="A89" s="271"/>
      <c r="B89" s="272" t="s">
        <v>251</v>
      </c>
      <c r="C89" s="273"/>
      <c r="D89" s="273"/>
      <c r="E89" s="273"/>
      <c r="F89" s="273">
        <v>70</v>
      </c>
      <c r="G89" s="211"/>
      <c r="H89" s="212"/>
      <c r="I89" s="237"/>
      <c r="J89" s="237"/>
      <c r="K89" s="237"/>
      <c r="L89" s="238"/>
    </row>
    <row r="90" spans="1:13" s="205" customFormat="1" ht="27.6" x14ac:dyDescent="0.3">
      <c r="A90" s="216">
        <v>10</v>
      </c>
      <c r="B90" s="217" t="s">
        <v>252</v>
      </c>
      <c r="C90" s="218">
        <v>218905</v>
      </c>
      <c r="D90" s="218">
        <f>E90+F90</f>
        <v>218905</v>
      </c>
      <c r="E90" s="218">
        <v>218905</v>
      </c>
      <c r="F90" s="274">
        <f>C90-E90</f>
        <v>0</v>
      </c>
      <c r="G90" s="228">
        <f t="shared" si="24"/>
        <v>100</v>
      </c>
      <c r="H90" s="212"/>
      <c r="I90" s="203"/>
      <c r="J90" s="203"/>
      <c r="K90" s="203"/>
      <c r="L90" s="204"/>
    </row>
    <row r="91" spans="1:13" s="205" customFormat="1" ht="27.6" x14ac:dyDescent="0.3">
      <c r="A91" s="216" t="s">
        <v>150</v>
      </c>
      <c r="B91" s="217" t="s">
        <v>151</v>
      </c>
      <c r="C91" s="218">
        <v>252</v>
      </c>
      <c r="D91" s="218">
        <f>E91+F91</f>
        <v>0</v>
      </c>
      <c r="E91" s="218">
        <v>0</v>
      </c>
      <c r="F91" s="275">
        <v>0</v>
      </c>
      <c r="G91" s="211">
        <f t="shared" si="24"/>
        <v>0</v>
      </c>
      <c r="H91" s="212"/>
      <c r="I91" s="215"/>
      <c r="J91" s="203"/>
      <c r="K91" s="203"/>
      <c r="L91" s="204"/>
      <c r="M91" s="276"/>
    </row>
    <row r="92" spans="1:13" s="205" customFormat="1" ht="13.8" x14ac:dyDescent="0.3">
      <c r="A92" s="216" t="s">
        <v>34</v>
      </c>
      <c r="B92" s="217" t="s">
        <v>253</v>
      </c>
      <c r="C92" s="255">
        <v>29130.699000000004</v>
      </c>
      <c r="D92" s="255">
        <f>E92+F92</f>
        <v>23819.791394</v>
      </c>
      <c r="E92" s="218">
        <v>18889.791394</v>
      </c>
      <c r="F92" s="186">
        <f>SUM(F93:F96)</f>
        <v>4930</v>
      </c>
      <c r="G92" s="228">
        <f t="shared" si="24"/>
        <v>81.768691489345997</v>
      </c>
      <c r="H92" s="212"/>
      <c r="I92" s="243"/>
      <c r="J92" s="215"/>
      <c r="K92" s="215"/>
      <c r="L92" s="204"/>
    </row>
    <row r="93" spans="1:13" s="239" customFormat="1" ht="13.8" hidden="1" x14ac:dyDescent="0.3">
      <c r="A93" s="271"/>
      <c r="B93" s="272" t="s">
        <v>254</v>
      </c>
      <c r="C93" s="277"/>
      <c r="D93" s="277"/>
      <c r="E93" s="277"/>
      <c r="F93" s="277">
        <v>638</v>
      </c>
      <c r="G93" s="240" t="e">
        <f t="shared" si="24"/>
        <v>#DIV/0!</v>
      </c>
      <c r="H93" s="278"/>
      <c r="I93" s="279"/>
      <c r="J93" s="280"/>
      <c r="K93" s="280"/>
      <c r="L93" s="238"/>
    </row>
    <row r="94" spans="1:13" s="239" customFormat="1" ht="13.8" hidden="1" x14ac:dyDescent="0.3">
      <c r="A94" s="271"/>
      <c r="B94" s="272" t="s">
        <v>255</v>
      </c>
      <c r="C94" s="277"/>
      <c r="D94" s="277"/>
      <c r="E94" s="277"/>
      <c r="F94" s="277">
        <v>3281</v>
      </c>
      <c r="G94" s="240" t="e">
        <f t="shared" si="24"/>
        <v>#DIV/0!</v>
      </c>
      <c r="H94" s="278"/>
      <c r="I94" s="237"/>
      <c r="J94" s="237"/>
      <c r="K94" s="237"/>
      <c r="L94" s="238"/>
    </row>
    <row r="95" spans="1:13" s="239" customFormat="1" ht="27.6" hidden="1" x14ac:dyDescent="0.3">
      <c r="A95" s="271"/>
      <c r="B95" s="272" t="s">
        <v>256</v>
      </c>
      <c r="C95" s="277"/>
      <c r="D95" s="277"/>
      <c r="E95" s="277"/>
      <c r="F95" s="277">
        <v>400</v>
      </c>
      <c r="G95" s="240"/>
      <c r="H95" s="278"/>
      <c r="I95" s="237"/>
      <c r="J95" s="237"/>
      <c r="K95" s="237"/>
      <c r="L95" s="238"/>
    </row>
    <row r="96" spans="1:13" s="239" customFormat="1" ht="27.6" hidden="1" x14ac:dyDescent="0.3">
      <c r="A96" s="271"/>
      <c r="B96" s="272" t="s">
        <v>257</v>
      </c>
      <c r="C96" s="277"/>
      <c r="D96" s="277"/>
      <c r="E96" s="277"/>
      <c r="F96" s="277">
        <v>611</v>
      </c>
      <c r="G96" s="240" t="e">
        <f t="shared" si="24"/>
        <v>#DIV/0!</v>
      </c>
      <c r="H96" s="278"/>
      <c r="I96" s="237"/>
      <c r="J96" s="237"/>
      <c r="K96" s="237"/>
      <c r="L96" s="238"/>
    </row>
    <row r="97" spans="1:14" s="205" customFormat="1" ht="13.8" x14ac:dyDescent="0.3">
      <c r="A97" s="216" t="s">
        <v>158</v>
      </c>
      <c r="B97" s="281" t="s">
        <v>258</v>
      </c>
      <c r="C97" s="282">
        <v>2899.9439929999999</v>
      </c>
      <c r="D97" s="282">
        <f>E97+F97</f>
        <v>609.86947399999997</v>
      </c>
      <c r="E97" s="282">
        <v>609.86947399999997</v>
      </c>
      <c r="F97" s="282">
        <v>0</v>
      </c>
      <c r="G97" s="211">
        <f t="shared" si="24"/>
        <v>21.030388016876433</v>
      </c>
      <c r="H97" s="212"/>
      <c r="I97" s="203"/>
      <c r="J97" s="203"/>
      <c r="K97" s="203"/>
      <c r="L97" s="204"/>
    </row>
    <row r="98" spans="1:14" s="205" customFormat="1" ht="16.8" customHeight="1" x14ac:dyDescent="0.3">
      <c r="A98" s="216" t="s">
        <v>159</v>
      </c>
      <c r="B98" s="283" t="s">
        <v>259</v>
      </c>
      <c r="C98" s="284">
        <v>904.08579999999995</v>
      </c>
      <c r="D98" s="284">
        <f>E98+F98</f>
        <v>904.08579999999995</v>
      </c>
      <c r="E98" s="284">
        <v>904.08579999999995</v>
      </c>
      <c r="F98" s="285">
        <f>C98-E98</f>
        <v>0</v>
      </c>
      <c r="G98" s="228">
        <f t="shared" si="24"/>
        <v>100</v>
      </c>
      <c r="H98" s="212"/>
      <c r="I98" s="286"/>
      <c r="J98" s="286"/>
      <c r="K98" s="286"/>
      <c r="L98" s="287"/>
    </row>
    <row r="99" spans="1:14" s="205" customFormat="1" ht="16.8" customHeight="1" x14ac:dyDescent="0.3">
      <c r="A99" s="216" t="s">
        <v>152</v>
      </c>
      <c r="B99" s="217" t="s">
        <v>153</v>
      </c>
      <c r="C99" s="218">
        <v>1471</v>
      </c>
      <c r="D99" s="218">
        <f>E99+F99</f>
        <v>1271.498</v>
      </c>
      <c r="E99" s="218"/>
      <c r="F99" s="274">
        <f>663.39+608.108</f>
        <v>1271.498</v>
      </c>
      <c r="G99" s="211">
        <f t="shared" si="24"/>
        <v>86.437661454792661</v>
      </c>
      <c r="H99" s="212"/>
      <c r="I99" s="288"/>
      <c r="J99" s="288"/>
      <c r="K99" s="288"/>
      <c r="L99" s="289"/>
    </row>
    <row r="100" spans="1:14" s="239" customFormat="1" ht="16.8" hidden="1" customHeight="1" x14ac:dyDescent="0.3">
      <c r="A100" s="271"/>
      <c r="B100" s="272" t="s">
        <v>260</v>
      </c>
      <c r="C100" s="290"/>
      <c r="D100" s="290"/>
      <c r="E100" s="290"/>
      <c r="F100" s="273">
        <v>663.39</v>
      </c>
      <c r="G100" s="211" t="e">
        <f t="shared" si="24"/>
        <v>#DIV/0!</v>
      </c>
      <c r="H100" s="278"/>
      <c r="I100" s="291"/>
      <c r="J100" s="291"/>
      <c r="K100" s="291"/>
      <c r="L100" s="292"/>
    </row>
    <row r="101" spans="1:14" s="239" customFormat="1" ht="16.8" hidden="1" customHeight="1" x14ac:dyDescent="0.3">
      <c r="A101" s="271"/>
      <c r="B101" s="272" t="s">
        <v>261</v>
      </c>
      <c r="C101" s="290"/>
      <c r="D101" s="290"/>
      <c r="E101" s="290"/>
      <c r="F101" s="273">
        <v>608.10799999999995</v>
      </c>
      <c r="G101" s="211" t="e">
        <f t="shared" si="24"/>
        <v>#DIV/0!</v>
      </c>
      <c r="H101" s="278"/>
      <c r="I101" s="291"/>
      <c r="J101" s="291"/>
      <c r="K101" s="291"/>
      <c r="L101" s="292"/>
    </row>
    <row r="102" spans="1:14" s="205" customFormat="1" ht="16.8" customHeight="1" x14ac:dyDescent="0.3">
      <c r="A102" s="216" t="s">
        <v>154</v>
      </c>
      <c r="B102" s="217" t="s">
        <v>155</v>
      </c>
      <c r="C102" s="255">
        <v>580</v>
      </c>
      <c r="D102" s="255">
        <f>E102+F102</f>
        <v>210</v>
      </c>
      <c r="E102" s="218"/>
      <c r="F102" s="274">
        <f>117+93</f>
        <v>210</v>
      </c>
      <c r="G102" s="211">
        <f t="shared" si="24"/>
        <v>36.206896551724135</v>
      </c>
      <c r="H102" s="212"/>
      <c r="I102" s="288"/>
      <c r="J102" s="288"/>
      <c r="K102" s="288"/>
      <c r="L102" s="289"/>
    </row>
    <row r="103" spans="1:14" s="239" customFormat="1" ht="16.8" hidden="1" customHeight="1" x14ac:dyDescent="0.3">
      <c r="A103" s="271"/>
      <c r="B103" s="272" t="s">
        <v>262</v>
      </c>
      <c r="C103" s="293"/>
      <c r="D103" s="293"/>
      <c r="E103" s="290"/>
      <c r="F103" s="273">
        <v>117</v>
      </c>
      <c r="G103" s="211" t="e">
        <f t="shared" si="24"/>
        <v>#DIV/0!</v>
      </c>
      <c r="H103" s="278"/>
      <c r="I103" s="291"/>
      <c r="J103" s="291"/>
      <c r="K103" s="291"/>
      <c r="L103" s="292"/>
    </row>
    <row r="104" spans="1:14" s="239" customFormat="1" ht="16.8" hidden="1" customHeight="1" x14ac:dyDescent="0.3">
      <c r="A104" s="271"/>
      <c r="B104" s="272" t="s">
        <v>263</v>
      </c>
      <c r="C104" s="293"/>
      <c r="D104" s="293"/>
      <c r="E104" s="290"/>
      <c r="F104" s="273">
        <v>93</v>
      </c>
      <c r="G104" s="211" t="e">
        <f t="shared" si="24"/>
        <v>#DIV/0!</v>
      </c>
      <c r="H104" s="278"/>
      <c r="I104" s="291"/>
      <c r="J104" s="291"/>
      <c r="K104" s="291"/>
      <c r="L104" s="292"/>
    </row>
    <row r="105" spans="1:14" s="205" customFormat="1" ht="16.8" customHeight="1" x14ac:dyDescent="0.3">
      <c r="A105" s="216" t="s">
        <v>264</v>
      </c>
      <c r="B105" s="217" t="s">
        <v>265</v>
      </c>
      <c r="C105" s="274">
        <f t="shared" ref="C105:F105" si="27">SUM(C106:C113)</f>
        <v>27261.856513999999</v>
      </c>
      <c r="D105" s="274">
        <f t="shared" si="27"/>
        <v>26311.856513999999</v>
      </c>
      <c r="E105" s="274">
        <f t="shared" si="27"/>
        <v>0</v>
      </c>
      <c r="F105" s="274">
        <f t="shared" si="27"/>
        <v>26311.856513999999</v>
      </c>
      <c r="G105" s="211">
        <f t="shared" si="24"/>
        <v>96.515277675560583</v>
      </c>
      <c r="H105" s="294"/>
      <c r="I105" s="295"/>
      <c r="J105" s="295"/>
      <c r="K105" s="295"/>
      <c r="L105" s="289"/>
    </row>
    <row r="106" spans="1:14" s="199" customFormat="1" ht="27.6" x14ac:dyDescent="0.3">
      <c r="A106" s="256" t="s">
        <v>49</v>
      </c>
      <c r="B106" s="249" t="s">
        <v>266</v>
      </c>
      <c r="C106" s="227">
        <v>150</v>
      </c>
      <c r="D106" s="227">
        <f t="shared" ref="D106:D113" si="28">E106+F106</f>
        <v>150</v>
      </c>
      <c r="E106" s="227"/>
      <c r="F106" s="227">
        <v>150</v>
      </c>
      <c r="G106" s="228">
        <f t="shared" si="24"/>
        <v>100</v>
      </c>
      <c r="H106" s="212"/>
      <c r="I106" s="288"/>
      <c r="J106" s="288"/>
      <c r="K106" s="288"/>
      <c r="L106" s="289"/>
    </row>
    <row r="107" spans="1:14" s="199" customFormat="1" ht="27.6" x14ac:dyDescent="0.3">
      <c r="A107" s="256" t="s">
        <v>49</v>
      </c>
      <c r="B107" s="249" t="s">
        <v>267</v>
      </c>
      <c r="C107" s="227">
        <v>18.809999999999999</v>
      </c>
      <c r="D107" s="227">
        <f t="shared" si="28"/>
        <v>18.809999999999999</v>
      </c>
      <c r="E107" s="227"/>
      <c r="F107" s="227">
        <v>18.809999999999999</v>
      </c>
      <c r="G107" s="228">
        <f t="shared" si="24"/>
        <v>100</v>
      </c>
      <c r="H107" s="212"/>
      <c r="I107" s="288"/>
      <c r="J107" s="288"/>
      <c r="K107" s="288"/>
      <c r="L107" s="289"/>
    </row>
    <row r="108" spans="1:14" s="199" customFormat="1" ht="27.6" x14ac:dyDescent="0.3">
      <c r="A108" s="256" t="s">
        <v>105</v>
      </c>
      <c r="B108" s="249" t="s">
        <v>268</v>
      </c>
      <c r="C108" s="227">
        <v>150</v>
      </c>
      <c r="D108" s="227">
        <f t="shared" si="28"/>
        <v>150</v>
      </c>
      <c r="E108" s="227"/>
      <c r="F108" s="227">
        <f t="shared" ref="F108:F111" si="29">C108-E108</f>
        <v>150</v>
      </c>
      <c r="G108" s="228">
        <f t="shared" si="24"/>
        <v>100</v>
      </c>
      <c r="H108" s="212"/>
      <c r="I108" s="295"/>
      <c r="J108" s="295"/>
      <c r="K108" s="295"/>
      <c r="L108" s="289"/>
    </row>
    <row r="109" spans="1:14" s="199" customFormat="1" ht="27.6" x14ac:dyDescent="0.3">
      <c r="A109" s="256" t="s">
        <v>105</v>
      </c>
      <c r="B109" s="249" t="s">
        <v>269</v>
      </c>
      <c r="C109" s="227">
        <v>21433.746513999999</v>
      </c>
      <c r="D109" s="227">
        <f t="shared" si="28"/>
        <v>21433.746513999999</v>
      </c>
      <c r="E109" s="227"/>
      <c r="F109" s="227">
        <v>21433.746513999999</v>
      </c>
      <c r="G109" s="228">
        <f t="shared" si="24"/>
        <v>100</v>
      </c>
      <c r="H109" s="296"/>
      <c r="I109" s="288"/>
      <c r="J109" s="288"/>
      <c r="K109" s="288"/>
      <c r="L109" s="289"/>
      <c r="M109" s="181"/>
      <c r="N109" s="181"/>
    </row>
    <row r="110" spans="1:14" s="199" customFormat="1" ht="27.6" x14ac:dyDescent="0.3">
      <c r="A110" s="256" t="s">
        <v>105</v>
      </c>
      <c r="B110" s="249" t="s">
        <v>270</v>
      </c>
      <c r="C110" s="227">
        <v>3109.3</v>
      </c>
      <c r="D110" s="227">
        <f t="shared" si="28"/>
        <v>3109.3</v>
      </c>
      <c r="E110" s="227"/>
      <c r="F110" s="227">
        <v>3109.3</v>
      </c>
      <c r="G110" s="228">
        <f t="shared" si="24"/>
        <v>100</v>
      </c>
      <c r="H110" s="212"/>
      <c r="I110" s="288"/>
      <c r="J110" s="295"/>
      <c r="K110" s="295"/>
      <c r="L110" s="289"/>
    </row>
    <row r="111" spans="1:14" s="199" customFormat="1" ht="27.6" x14ac:dyDescent="0.3">
      <c r="A111" s="256" t="s">
        <v>105</v>
      </c>
      <c r="B111" s="249" t="s">
        <v>271</v>
      </c>
      <c r="C111" s="227">
        <v>100</v>
      </c>
      <c r="D111" s="227">
        <f t="shared" si="28"/>
        <v>100</v>
      </c>
      <c r="E111" s="227"/>
      <c r="F111" s="227">
        <f t="shared" si="29"/>
        <v>100</v>
      </c>
      <c r="G111" s="228">
        <f t="shared" si="24"/>
        <v>100</v>
      </c>
      <c r="H111" s="212"/>
      <c r="I111" s="182"/>
      <c r="J111" s="182"/>
      <c r="K111" s="182"/>
      <c r="L111" s="183"/>
    </row>
    <row r="112" spans="1:14" s="199" customFormat="1" ht="27.6" x14ac:dyDescent="0.3">
      <c r="A112" s="256" t="s">
        <v>105</v>
      </c>
      <c r="B112" s="249" t="s">
        <v>272</v>
      </c>
      <c r="C112" s="227">
        <v>1350</v>
      </c>
      <c r="D112" s="227">
        <f t="shared" si="28"/>
        <v>1350</v>
      </c>
      <c r="E112" s="227"/>
      <c r="F112" s="227">
        <v>1350</v>
      </c>
      <c r="G112" s="228">
        <f t="shared" si="24"/>
        <v>100</v>
      </c>
      <c r="H112" s="212"/>
      <c r="I112" s="182"/>
      <c r="J112" s="182"/>
      <c r="K112" s="182"/>
      <c r="L112" s="183"/>
    </row>
    <row r="113" spans="1:8" x14ac:dyDescent="0.3">
      <c r="A113" s="256" t="s">
        <v>49</v>
      </c>
      <c r="B113" s="297" t="s">
        <v>273</v>
      </c>
      <c r="C113" s="297">
        <v>950</v>
      </c>
      <c r="D113" s="227">
        <f t="shared" si="28"/>
        <v>0</v>
      </c>
      <c r="E113" s="297"/>
      <c r="F113" s="298">
        <v>0</v>
      </c>
      <c r="G113" s="211">
        <f t="shared" si="24"/>
        <v>0</v>
      </c>
      <c r="H113" s="212"/>
    </row>
    <row r="114" spans="1:8" x14ac:dyDescent="0.3">
      <c r="A114" s="299"/>
      <c r="B114" s="181" t="s">
        <v>156</v>
      </c>
    </row>
    <row r="115" spans="1:8" x14ac:dyDescent="0.3">
      <c r="C115" s="342" t="s">
        <v>215</v>
      </c>
      <c r="D115" s="342"/>
      <c r="E115" s="342"/>
      <c r="F115" s="342"/>
      <c r="G115" s="342"/>
    </row>
    <row r="117" spans="1:8" x14ac:dyDescent="0.3">
      <c r="B117" s="300"/>
    </row>
    <row r="118" spans="1:8" x14ac:dyDescent="0.3">
      <c r="B118" s="300"/>
    </row>
    <row r="119" spans="1:8" x14ac:dyDescent="0.3">
      <c r="B119" s="300"/>
    </row>
    <row r="120" spans="1:8" x14ac:dyDescent="0.3">
      <c r="B120" s="300"/>
    </row>
    <row r="121" spans="1:8" x14ac:dyDescent="0.3">
      <c r="B121" s="300"/>
    </row>
    <row r="122" spans="1:8" x14ac:dyDescent="0.3">
      <c r="B122" s="300"/>
    </row>
  </sheetData>
  <mergeCells count="13">
    <mergeCell ref="C115:G115"/>
    <mergeCell ref="A4:G4"/>
    <mergeCell ref="A5:G5"/>
    <mergeCell ref="D6:G6"/>
    <mergeCell ref="D1:G1"/>
    <mergeCell ref="A7:A8"/>
    <mergeCell ref="B7:B8"/>
    <mergeCell ref="C7:C8"/>
    <mergeCell ref="D7:D8"/>
    <mergeCell ref="E7:F7"/>
    <mergeCell ref="G7:G8"/>
    <mergeCell ref="A1:B1"/>
    <mergeCell ref="A2:B2"/>
  </mergeCells>
  <pageMargins left="0.45" right="0.45" top="0.75" bottom="0.25" header="0.3" footer="0.3"/>
  <pageSetup paperSize="9" orientation="portrait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04861-7E31-4441-82E5-38701DD9F93D}">
  <dimension ref="A1:F27"/>
  <sheetViews>
    <sheetView workbookViewId="0">
      <selection activeCell="C1" sqref="C1"/>
    </sheetView>
  </sheetViews>
  <sheetFormatPr defaultColWidth="8.88671875" defaultRowHeight="14.4" x14ac:dyDescent="0.3"/>
  <cols>
    <col min="1" max="1" width="7.44140625" customWidth="1"/>
    <col min="2" max="2" width="61.44140625" customWidth="1"/>
    <col min="3" max="3" width="24.77734375" customWidth="1"/>
    <col min="5" max="5" width="12.33203125" customWidth="1"/>
  </cols>
  <sheetData>
    <row r="1" spans="1:6" ht="16.8" x14ac:dyDescent="0.3">
      <c r="A1" s="350" t="s">
        <v>162</v>
      </c>
      <c r="B1" s="350"/>
      <c r="C1" s="170"/>
    </row>
    <row r="2" spans="1:6" ht="18" x14ac:dyDescent="0.3">
      <c r="A2" s="351" t="s">
        <v>39</v>
      </c>
      <c r="B2" s="351"/>
      <c r="C2" s="147"/>
    </row>
    <row r="3" spans="1:6" ht="18" x14ac:dyDescent="0.3">
      <c r="A3" s="148"/>
      <c r="B3" s="147"/>
      <c r="C3" s="147"/>
    </row>
    <row r="4" spans="1:6" ht="17.399999999999999" x14ac:dyDescent="0.3">
      <c r="A4" s="352" t="s">
        <v>290</v>
      </c>
      <c r="B4" s="352"/>
      <c r="C4" s="352"/>
    </row>
    <row r="5" spans="1:6" ht="16.8" x14ac:dyDescent="0.3">
      <c r="A5" s="353" t="s">
        <v>160</v>
      </c>
      <c r="B5" s="353"/>
      <c r="C5" s="353"/>
    </row>
    <row r="6" spans="1:6" ht="18" x14ac:dyDescent="0.3">
      <c r="A6" s="147"/>
      <c r="B6" s="147"/>
      <c r="C6" s="149" t="s">
        <v>163</v>
      </c>
    </row>
    <row r="7" spans="1:6" ht="16.8" x14ac:dyDescent="0.3">
      <c r="A7" s="150" t="s">
        <v>164</v>
      </c>
      <c r="B7" s="150" t="s">
        <v>165</v>
      </c>
      <c r="C7" s="150" t="s">
        <v>285</v>
      </c>
    </row>
    <row r="8" spans="1:6" ht="23.4" customHeight="1" x14ac:dyDescent="0.3">
      <c r="A8" s="151" t="s">
        <v>166</v>
      </c>
      <c r="B8" s="152" t="s">
        <v>167</v>
      </c>
      <c r="C8" s="153">
        <f>+C9+C12</f>
        <v>258188</v>
      </c>
    </row>
    <row r="9" spans="1:6" ht="23.4" customHeight="1" x14ac:dyDescent="0.3">
      <c r="A9" s="151" t="s">
        <v>11</v>
      </c>
      <c r="B9" s="152" t="s">
        <v>168</v>
      </c>
      <c r="C9" s="153">
        <f>C10+C11</f>
        <v>53910</v>
      </c>
    </row>
    <row r="10" spans="1:6" ht="23.4" customHeight="1" x14ac:dyDescent="0.3">
      <c r="A10" s="154" t="s">
        <v>49</v>
      </c>
      <c r="B10" s="144" t="s">
        <v>169</v>
      </c>
      <c r="C10" s="155">
        <f>'DỰ TOÁN THU'!H12</f>
        <v>320</v>
      </c>
    </row>
    <row r="11" spans="1:6" ht="23.4" customHeight="1" x14ac:dyDescent="0.3">
      <c r="A11" s="154" t="s">
        <v>49</v>
      </c>
      <c r="B11" s="156" t="s">
        <v>170</v>
      </c>
      <c r="C11" s="155">
        <f>'DỰ TOÁN THU'!H15+'DỰ TOÁN THU'!H20+'DỰ TOÁN THU'!H21+'DỰ TOÁN THU'!H22+'DỰ TOÁN THU'!H25+'DỰ TOÁN THU'!H26+'DỰ TOÁN THU'!H30</f>
        <v>53590</v>
      </c>
    </row>
    <row r="12" spans="1:6" ht="23.4" customHeight="1" x14ac:dyDescent="0.3">
      <c r="A12" s="151" t="s">
        <v>46</v>
      </c>
      <c r="B12" s="152" t="s">
        <v>171</v>
      </c>
      <c r="C12" s="153">
        <f>+C13+C14</f>
        <v>204278</v>
      </c>
    </row>
    <row r="13" spans="1:6" ht="23.4" customHeight="1" x14ac:dyDescent="0.3">
      <c r="A13" s="154" t="s">
        <v>49</v>
      </c>
      <c r="B13" s="156" t="s">
        <v>36</v>
      </c>
      <c r="C13" s="157">
        <f>'DỰ TOÁN THU'!H32</f>
        <v>154822</v>
      </c>
      <c r="E13" s="158"/>
      <c r="F13" s="145"/>
    </row>
    <row r="14" spans="1:6" ht="23.4" customHeight="1" x14ac:dyDescent="0.3">
      <c r="A14" s="154" t="s">
        <v>49</v>
      </c>
      <c r="B14" s="156" t="s">
        <v>172</v>
      </c>
      <c r="C14" s="159">
        <f>'DỰ TOÁN THU'!H33</f>
        <v>49456</v>
      </c>
    </row>
    <row r="15" spans="1:6" ht="23.4" customHeight="1" x14ac:dyDescent="0.3">
      <c r="A15" s="151" t="s">
        <v>173</v>
      </c>
      <c r="B15" s="152" t="s">
        <v>174</v>
      </c>
      <c r="C15" s="153">
        <f>C16+C22+C23+C24+C25</f>
        <v>258188</v>
      </c>
    </row>
    <row r="16" spans="1:6" ht="23.4" customHeight="1" x14ac:dyDescent="0.3">
      <c r="A16" s="154">
        <v>1</v>
      </c>
      <c r="B16" s="156" t="s">
        <v>281</v>
      </c>
      <c r="C16" s="160">
        <f>C17+C21</f>
        <v>49200</v>
      </c>
      <c r="E16" s="333"/>
    </row>
    <row r="17" spans="1:5" ht="23.4" customHeight="1" x14ac:dyDescent="0.3">
      <c r="A17" s="154" t="s">
        <v>277</v>
      </c>
      <c r="B17" s="156" t="s">
        <v>278</v>
      </c>
      <c r="C17" s="160">
        <f>C18+C19+C20</f>
        <v>38200</v>
      </c>
    </row>
    <row r="18" spans="1:5" s="164" customFormat="1" ht="23.4" customHeight="1" x14ac:dyDescent="0.3">
      <c r="A18" s="161"/>
      <c r="B18" s="162" t="s">
        <v>274</v>
      </c>
      <c r="C18" s="163">
        <f>500+200</f>
        <v>700</v>
      </c>
    </row>
    <row r="19" spans="1:5" s="164" customFormat="1" ht="23.4" customHeight="1" x14ac:dyDescent="0.3">
      <c r="A19" s="161"/>
      <c r="B19" s="162" t="s">
        <v>179</v>
      </c>
      <c r="C19" s="163">
        <f>'DỰ TOÁN CHI'!C12</f>
        <v>1910</v>
      </c>
    </row>
    <row r="20" spans="1:5" s="164" customFormat="1" ht="23.4" customHeight="1" x14ac:dyDescent="0.3">
      <c r="A20" s="161"/>
      <c r="B20" s="162" t="s">
        <v>180</v>
      </c>
      <c r="C20" s="163">
        <f>'DỰ TOÁN CHI'!C11-700</f>
        <v>35590</v>
      </c>
      <c r="E20" s="334"/>
    </row>
    <row r="21" spans="1:5" s="164" customFormat="1" ht="23.4" customHeight="1" x14ac:dyDescent="0.3">
      <c r="A21" s="154" t="s">
        <v>279</v>
      </c>
      <c r="B21" s="156" t="s">
        <v>280</v>
      </c>
      <c r="C21" s="160">
        <v>11000</v>
      </c>
    </row>
    <row r="22" spans="1:5" ht="23.4" customHeight="1" x14ac:dyDescent="0.3">
      <c r="A22" s="154">
        <v>2</v>
      </c>
      <c r="B22" s="156" t="s">
        <v>47</v>
      </c>
      <c r="C22" s="160">
        <f>'DỰ TOÁN CHI'!C14</f>
        <v>200151.7</v>
      </c>
    </row>
    <row r="23" spans="1:5" ht="23.4" customHeight="1" x14ac:dyDescent="0.3">
      <c r="A23" s="154">
        <v>3</v>
      </c>
      <c r="B23" s="156" t="s">
        <v>175</v>
      </c>
      <c r="C23" s="160">
        <f>'DỰ TOÁN CHI'!C127</f>
        <v>3852</v>
      </c>
    </row>
    <row r="24" spans="1:5" ht="23.4" customHeight="1" x14ac:dyDescent="0.3">
      <c r="A24" s="154">
        <v>4</v>
      </c>
      <c r="B24" s="156" t="s">
        <v>176</v>
      </c>
      <c r="C24" s="160">
        <f>'DỰ TOÁN CHI'!C126</f>
        <v>2901</v>
      </c>
    </row>
    <row r="25" spans="1:5" ht="23.4" customHeight="1" x14ac:dyDescent="0.3">
      <c r="A25" s="154">
        <v>5</v>
      </c>
      <c r="B25" s="156" t="s">
        <v>177</v>
      </c>
      <c r="C25" s="160">
        <f>'DỰ TOÁN CHI'!C125</f>
        <v>2083.3000000000002</v>
      </c>
    </row>
    <row r="27" spans="1:5" ht="15.6" x14ac:dyDescent="0.3">
      <c r="B27" s="354" t="s">
        <v>178</v>
      </c>
      <c r="C27" s="354"/>
    </row>
  </sheetData>
  <mergeCells count="5">
    <mergeCell ref="A1:B1"/>
    <mergeCell ref="A2:B2"/>
    <mergeCell ref="A4:C4"/>
    <mergeCell ref="A5:C5"/>
    <mergeCell ref="B27:C27"/>
  </mergeCells>
  <pageMargins left="0.45" right="0.45" top="0.75" bottom="0.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9F113-9223-49A1-A068-C844210595C4}">
  <dimension ref="A1:N35"/>
  <sheetViews>
    <sheetView workbookViewId="0">
      <selection activeCell="G1" sqref="G1:H1"/>
    </sheetView>
  </sheetViews>
  <sheetFormatPr defaultRowHeight="14.4" x14ac:dyDescent="0.3"/>
  <cols>
    <col min="1" max="1" width="6.109375" customWidth="1"/>
    <col min="2" max="2" width="37.21875" customWidth="1"/>
    <col min="3" max="3" width="6.44140625" hidden="1" customWidth="1"/>
    <col min="4" max="4" width="7.44140625" hidden="1" customWidth="1"/>
    <col min="5" max="5" width="12.88671875" style="38" customWidth="1"/>
    <col min="6" max="6" width="12.77734375" style="38" customWidth="1"/>
    <col min="7" max="7" width="12.88671875" style="38" customWidth="1"/>
    <col min="8" max="8" width="12.5546875" style="38" customWidth="1"/>
    <col min="10" max="10" width="10.109375" style="5" bestFit="1" customWidth="1"/>
    <col min="11" max="11" width="19.21875" style="5" customWidth="1"/>
    <col min="12" max="12" width="15.88671875" style="5" customWidth="1"/>
    <col min="13" max="14" width="8.88671875" style="5"/>
  </cols>
  <sheetData>
    <row r="1" spans="1:14" ht="16.8" x14ac:dyDescent="0.3">
      <c r="A1" s="356" t="s">
        <v>0</v>
      </c>
      <c r="B1" s="356"/>
      <c r="C1" s="2"/>
      <c r="D1" s="2"/>
      <c r="E1" s="2"/>
      <c r="F1" s="3"/>
      <c r="G1" s="366"/>
      <c r="H1" s="366"/>
    </row>
    <row r="2" spans="1:14" ht="16.8" x14ac:dyDescent="0.3">
      <c r="A2" s="356" t="s">
        <v>1</v>
      </c>
      <c r="B2" s="356"/>
      <c r="C2" s="2"/>
      <c r="D2" s="2"/>
      <c r="E2" s="2"/>
      <c r="F2" s="3"/>
      <c r="G2" s="4"/>
      <c r="H2" s="4"/>
    </row>
    <row r="3" spans="1:14" ht="16.8" x14ac:dyDescent="0.3">
      <c r="A3" s="1"/>
      <c r="B3" s="1"/>
      <c r="C3" s="2"/>
      <c r="D3" s="2"/>
      <c r="E3" s="2"/>
      <c r="F3" s="3"/>
      <c r="G3" s="4"/>
      <c r="H3" s="4"/>
    </row>
    <row r="4" spans="1:14" ht="16.8" x14ac:dyDescent="0.3">
      <c r="A4" s="357" t="s">
        <v>291</v>
      </c>
      <c r="B4" s="357"/>
      <c r="C4" s="357"/>
      <c r="D4" s="357"/>
      <c r="E4" s="357"/>
      <c r="F4" s="357"/>
      <c r="G4" s="357"/>
      <c r="H4" s="357"/>
    </row>
    <row r="5" spans="1:14" ht="16.8" x14ac:dyDescent="0.3">
      <c r="A5" s="358" t="s">
        <v>160</v>
      </c>
      <c r="B5" s="358"/>
      <c r="C5" s="358"/>
      <c r="D5" s="358"/>
      <c r="E5" s="358"/>
      <c r="F5" s="358"/>
      <c r="G5" s="358"/>
      <c r="H5" s="358"/>
    </row>
    <row r="6" spans="1:14" ht="16.8" x14ac:dyDescent="0.3">
      <c r="A6" s="146"/>
      <c r="B6" s="146"/>
      <c r="C6" s="146"/>
      <c r="D6" s="146"/>
      <c r="E6" s="146"/>
      <c r="F6" s="146"/>
      <c r="G6" s="146"/>
      <c r="H6" s="146"/>
    </row>
    <row r="7" spans="1:14" ht="16.8" x14ac:dyDescent="0.3">
      <c r="A7" s="6"/>
      <c r="B7" s="7"/>
      <c r="C7" s="2"/>
      <c r="D7" s="2"/>
      <c r="E7" s="2"/>
      <c r="F7" s="3"/>
      <c r="G7" s="365" t="s">
        <v>41</v>
      </c>
      <c r="H7" s="365"/>
    </row>
    <row r="8" spans="1:14" ht="15.6" x14ac:dyDescent="0.3">
      <c r="A8" s="359" t="s">
        <v>2</v>
      </c>
      <c r="B8" s="359" t="s">
        <v>3</v>
      </c>
      <c r="C8" s="361" t="s">
        <v>4</v>
      </c>
      <c r="D8" s="362"/>
      <c r="E8" s="363" t="s">
        <v>5</v>
      </c>
      <c r="F8" s="364"/>
      <c r="G8" s="363" t="s">
        <v>161</v>
      </c>
      <c r="H8" s="364"/>
    </row>
    <row r="9" spans="1:14" ht="15.6" x14ac:dyDescent="0.3">
      <c r="A9" s="360"/>
      <c r="B9" s="360"/>
      <c r="C9" s="8" t="s">
        <v>6</v>
      </c>
      <c r="D9" s="8" t="s">
        <v>7</v>
      </c>
      <c r="E9" s="9" t="s">
        <v>8</v>
      </c>
      <c r="F9" s="10" t="s">
        <v>9</v>
      </c>
      <c r="G9" s="9" t="s">
        <v>8</v>
      </c>
      <c r="H9" s="10" t="s">
        <v>9</v>
      </c>
      <c r="J9" s="165"/>
    </row>
    <row r="10" spans="1:14" ht="22.2" customHeight="1" x14ac:dyDescent="0.3">
      <c r="A10" s="11"/>
      <c r="B10" s="11" t="s">
        <v>10</v>
      </c>
      <c r="C10" s="12"/>
      <c r="D10" s="12"/>
      <c r="E10" s="13">
        <f>E11+E31</f>
        <v>274728</v>
      </c>
      <c r="F10" s="13">
        <f t="shared" ref="F10:H10" si="0">F11+F31</f>
        <v>230088</v>
      </c>
      <c r="G10" s="13">
        <f t="shared" si="0"/>
        <v>314928</v>
      </c>
      <c r="H10" s="13">
        <f t="shared" si="0"/>
        <v>258188</v>
      </c>
      <c r="K10" s="14"/>
      <c r="L10" s="166"/>
      <c r="M10" s="14"/>
      <c r="N10" s="14"/>
    </row>
    <row r="11" spans="1:14" ht="22.2" customHeight="1" x14ac:dyDescent="0.3">
      <c r="A11" s="15" t="s">
        <v>11</v>
      </c>
      <c r="B11" s="16" t="s">
        <v>12</v>
      </c>
      <c r="C11" s="12"/>
      <c r="D11" s="12"/>
      <c r="E11" s="17">
        <f>E12+E15+E20+E21+E22+E25+E26+E30</f>
        <v>70450</v>
      </c>
      <c r="F11" s="17">
        <f>F12+F15+F20+F21+F22+F25+F26+F30</f>
        <v>25810</v>
      </c>
      <c r="G11" s="17">
        <f>G12+G15+G20+G21+G22+G25+G26+G30</f>
        <v>110650</v>
      </c>
      <c r="H11" s="17">
        <f>H12+H15+H20+H21+H22+H25+H26+H30</f>
        <v>53910</v>
      </c>
      <c r="K11" s="14"/>
      <c r="L11" s="14"/>
      <c r="M11" s="14"/>
      <c r="N11" s="14"/>
    </row>
    <row r="12" spans="1:14" ht="22.2" customHeight="1" x14ac:dyDescent="0.3">
      <c r="A12" s="18">
        <v>1.1000000000000001</v>
      </c>
      <c r="B12" s="19" t="s">
        <v>282</v>
      </c>
      <c r="C12" s="20"/>
      <c r="D12" s="20"/>
      <c r="E12" s="21">
        <f>E13+E14</f>
        <v>320</v>
      </c>
      <c r="F12" s="21">
        <f t="shared" ref="F12:H12" si="1">F13+F14</f>
        <v>320</v>
      </c>
      <c r="G12" s="21">
        <f>G13+G14</f>
        <v>320</v>
      </c>
      <c r="H12" s="21">
        <f t="shared" si="1"/>
        <v>320</v>
      </c>
      <c r="K12" s="14"/>
      <c r="L12" s="14"/>
      <c r="M12" s="14"/>
      <c r="N12" s="14"/>
    </row>
    <row r="13" spans="1:14" ht="22.2" hidden="1" customHeight="1" x14ac:dyDescent="0.3">
      <c r="A13" s="22"/>
      <c r="B13" s="23" t="s">
        <v>14</v>
      </c>
      <c r="C13" s="20"/>
      <c r="D13" s="20">
        <v>1</v>
      </c>
      <c r="E13" s="21">
        <v>300</v>
      </c>
      <c r="F13" s="21">
        <f>E13</f>
        <v>300</v>
      </c>
      <c r="G13" s="21">
        <v>300</v>
      </c>
      <c r="H13" s="21">
        <f>G13</f>
        <v>300</v>
      </c>
      <c r="K13" s="14"/>
      <c r="L13" s="14"/>
      <c r="M13" s="14"/>
      <c r="N13" s="14"/>
    </row>
    <row r="14" spans="1:14" ht="22.2" hidden="1" customHeight="1" x14ac:dyDescent="0.3">
      <c r="A14" s="22"/>
      <c r="B14" s="23" t="s">
        <v>15</v>
      </c>
      <c r="C14" s="20"/>
      <c r="D14" s="20">
        <v>1</v>
      </c>
      <c r="E14" s="21">
        <v>20</v>
      </c>
      <c r="F14" s="21">
        <f>E14</f>
        <v>20</v>
      </c>
      <c r="G14" s="21">
        <v>20</v>
      </c>
      <c r="H14" s="21">
        <f>G14</f>
        <v>20</v>
      </c>
      <c r="K14" s="14"/>
      <c r="L14" s="14"/>
      <c r="M14" s="14"/>
      <c r="N14" s="14"/>
    </row>
    <row r="15" spans="1:14" ht="22.2" customHeight="1" x14ac:dyDescent="0.3">
      <c r="A15" s="24">
        <v>2</v>
      </c>
      <c r="B15" s="25" t="s">
        <v>16</v>
      </c>
      <c r="C15" s="26"/>
      <c r="D15" s="26"/>
      <c r="E15" s="27">
        <f>E16+E19</f>
        <v>250</v>
      </c>
      <c r="F15" s="27">
        <f t="shared" ref="F15:H15" si="2">F16+F19</f>
        <v>190</v>
      </c>
      <c r="G15" s="27">
        <f>G16+G19</f>
        <v>250</v>
      </c>
      <c r="H15" s="27">
        <f t="shared" si="2"/>
        <v>190</v>
      </c>
      <c r="K15" s="167"/>
      <c r="L15" s="167"/>
      <c r="M15" s="167"/>
      <c r="N15" s="14"/>
    </row>
    <row r="16" spans="1:14" ht="22.2" hidden="1" customHeight="1" x14ac:dyDescent="0.3">
      <c r="A16" s="28" t="s">
        <v>17</v>
      </c>
      <c r="B16" s="29" t="s">
        <v>18</v>
      </c>
      <c r="C16" s="26"/>
      <c r="D16" s="26"/>
      <c r="E16" s="27">
        <f>E18+E17</f>
        <v>250</v>
      </c>
      <c r="F16" s="27">
        <f t="shared" ref="F16:H16" si="3">F18+F17</f>
        <v>190</v>
      </c>
      <c r="G16" s="27">
        <f>G18+G17</f>
        <v>250</v>
      </c>
      <c r="H16" s="27">
        <f t="shared" si="3"/>
        <v>190</v>
      </c>
      <c r="K16" s="30"/>
      <c r="L16" s="30"/>
      <c r="M16" s="14"/>
      <c r="N16" s="30"/>
    </row>
    <row r="17" spans="1:14" ht="22.2" hidden="1" customHeight="1" x14ac:dyDescent="0.3">
      <c r="A17" s="31"/>
      <c r="B17" s="32" t="s">
        <v>19</v>
      </c>
      <c r="C17" s="33">
        <v>1</v>
      </c>
      <c r="D17" s="33"/>
      <c r="E17" s="34">
        <v>60</v>
      </c>
      <c r="F17" s="35">
        <v>0</v>
      </c>
      <c r="G17" s="34">
        <f>E17</f>
        <v>60</v>
      </c>
      <c r="H17" s="35">
        <v>0</v>
      </c>
      <c r="K17" s="30"/>
      <c r="L17" s="30"/>
      <c r="M17" s="30"/>
      <c r="N17" s="30"/>
    </row>
    <row r="18" spans="1:14" ht="22.2" hidden="1" customHeight="1" x14ac:dyDescent="0.3">
      <c r="A18" s="31"/>
      <c r="B18" s="32" t="s">
        <v>20</v>
      </c>
      <c r="C18" s="33"/>
      <c r="D18" s="33">
        <v>1</v>
      </c>
      <c r="E18" s="34">
        <v>190</v>
      </c>
      <c r="F18" s="34">
        <v>190</v>
      </c>
      <c r="G18" s="34">
        <f>E18</f>
        <v>190</v>
      </c>
      <c r="H18" s="34">
        <f>G18</f>
        <v>190</v>
      </c>
      <c r="K18" s="167"/>
      <c r="L18" s="167"/>
      <c r="M18" s="167"/>
      <c r="N18" s="14"/>
    </row>
    <row r="19" spans="1:14" ht="22.2" hidden="1" customHeight="1" x14ac:dyDescent="0.3">
      <c r="A19" s="28" t="s">
        <v>21</v>
      </c>
      <c r="B19" s="25" t="s">
        <v>22</v>
      </c>
      <c r="C19" s="26"/>
      <c r="D19" s="26">
        <v>1</v>
      </c>
      <c r="E19" s="27"/>
      <c r="F19" s="27"/>
      <c r="G19" s="27"/>
      <c r="H19" s="27"/>
      <c r="K19" s="167"/>
      <c r="L19" s="167"/>
      <c r="M19" s="167"/>
      <c r="N19" s="14"/>
    </row>
    <row r="20" spans="1:14" s="38" customFormat="1" ht="22.2" customHeight="1" x14ac:dyDescent="0.3">
      <c r="A20" s="36">
        <v>3</v>
      </c>
      <c r="B20" s="37" t="s">
        <v>23</v>
      </c>
      <c r="C20" s="20">
        <v>0.7</v>
      </c>
      <c r="D20" s="20">
        <v>0.3</v>
      </c>
      <c r="E20" s="21">
        <v>800</v>
      </c>
      <c r="F20" s="21">
        <f>E20*0.5</f>
        <v>400</v>
      </c>
      <c r="G20" s="21">
        <v>800</v>
      </c>
      <c r="H20" s="21">
        <f>G20*0.5</f>
        <v>400</v>
      </c>
      <c r="J20" s="39"/>
      <c r="K20" s="40"/>
      <c r="L20" s="40"/>
      <c r="M20" s="40"/>
      <c r="N20" s="40"/>
    </row>
    <row r="21" spans="1:14" s="38" customFormat="1" ht="22.2" customHeight="1" x14ac:dyDescent="0.3">
      <c r="A21" s="41">
        <v>4</v>
      </c>
      <c r="B21" s="19" t="s">
        <v>24</v>
      </c>
      <c r="C21" s="20">
        <v>0.55000000000000004</v>
      </c>
      <c r="D21" s="20">
        <v>0.45</v>
      </c>
      <c r="E21" s="21">
        <f>40000</f>
        <v>40000</v>
      </c>
      <c r="F21" s="21">
        <v>10200</v>
      </c>
      <c r="G21" s="21">
        <f>E21+40000</f>
        <v>80000</v>
      </c>
      <c r="H21" s="21">
        <f>10200+28000</f>
        <v>38200</v>
      </c>
      <c r="J21" s="168"/>
      <c r="K21" s="40"/>
      <c r="L21" s="40"/>
      <c r="M21" s="40"/>
      <c r="N21" s="40"/>
    </row>
    <row r="22" spans="1:14" ht="22.2" customHeight="1" x14ac:dyDescent="0.3">
      <c r="A22" s="36">
        <v>5</v>
      </c>
      <c r="B22" s="37" t="s">
        <v>25</v>
      </c>
      <c r="C22" s="20"/>
      <c r="D22" s="20"/>
      <c r="E22" s="21">
        <f>E23+E24</f>
        <v>9700</v>
      </c>
      <c r="F22" s="21">
        <f t="shared" ref="F22:H22" si="4">F23+F24</f>
        <v>4850</v>
      </c>
      <c r="G22" s="21">
        <f>G23+G24</f>
        <v>9900</v>
      </c>
      <c r="H22" s="21">
        <f t="shared" si="4"/>
        <v>4950</v>
      </c>
      <c r="J22" s="169"/>
      <c r="K22" s="40"/>
      <c r="L22" s="40"/>
      <c r="M22" s="40"/>
      <c r="N22" s="40"/>
    </row>
    <row r="23" spans="1:14" s="38" customFormat="1" ht="22.2" hidden="1" customHeight="1" x14ac:dyDescent="0.3">
      <c r="A23" s="42"/>
      <c r="B23" s="43" t="s">
        <v>26</v>
      </c>
      <c r="C23" s="20">
        <v>0.2</v>
      </c>
      <c r="D23" s="20">
        <v>0.8</v>
      </c>
      <c r="E23" s="21">
        <v>9700</v>
      </c>
      <c r="F23" s="21">
        <f>E23*0.5</f>
        <v>4850</v>
      </c>
      <c r="G23" s="21">
        <f>9700+200</f>
        <v>9900</v>
      </c>
      <c r="H23" s="21">
        <f>G23*0.5</f>
        <v>4950</v>
      </c>
      <c r="J23" s="39"/>
      <c r="K23" s="39"/>
      <c r="L23" s="39"/>
      <c r="M23" s="39"/>
      <c r="N23" s="39"/>
    </row>
    <row r="24" spans="1:14" ht="22.2" hidden="1" customHeight="1" x14ac:dyDescent="0.3">
      <c r="A24" s="42"/>
      <c r="B24" s="43" t="s">
        <v>27</v>
      </c>
      <c r="C24" s="20">
        <v>1</v>
      </c>
      <c r="D24" s="20"/>
      <c r="E24" s="21"/>
      <c r="F24" s="21">
        <v>0</v>
      </c>
      <c r="G24" s="21"/>
      <c r="H24" s="21">
        <v>0</v>
      </c>
      <c r="M24" s="169"/>
    </row>
    <row r="25" spans="1:14" ht="22.2" customHeight="1" x14ac:dyDescent="0.3">
      <c r="A25" s="41">
        <v>6</v>
      </c>
      <c r="B25" s="19" t="s">
        <v>28</v>
      </c>
      <c r="C25" s="20"/>
      <c r="D25" s="20">
        <v>1</v>
      </c>
      <c r="E25" s="21">
        <v>320</v>
      </c>
      <c r="F25" s="21">
        <f>E25</f>
        <v>320</v>
      </c>
      <c r="G25" s="21">
        <v>320</v>
      </c>
      <c r="H25" s="21">
        <f>G25</f>
        <v>320</v>
      </c>
    </row>
    <row r="26" spans="1:14" ht="22.2" customHeight="1" x14ac:dyDescent="0.3">
      <c r="A26" s="36">
        <v>7</v>
      </c>
      <c r="B26" s="37" t="s">
        <v>29</v>
      </c>
      <c r="C26" s="20"/>
      <c r="D26" s="20"/>
      <c r="E26" s="21">
        <f>E27</f>
        <v>14610</v>
      </c>
      <c r="F26" s="21">
        <f>F27</f>
        <v>7305</v>
      </c>
      <c r="G26" s="21">
        <f>G27</f>
        <v>14610</v>
      </c>
      <c r="H26" s="21">
        <f>H27</f>
        <v>7305</v>
      </c>
    </row>
    <row r="27" spans="1:14" ht="22.2" hidden="1" customHeight="1" x14ac:dyDescent="0.3">
      <c r="A27" s="42" t="s">
        <v>30</v>
      </c>
      <c r="B27" s="43" t="s">
        <v>31</v>
      </c>
      <c r="C27" s="20"/>
      <c r="D27" s="20"/>
      <c r="E27" s="21">
        <f>E28+E29</f>
        <v>14610</v>
      </c>
      <c r="F27" s="21">
        <f t="shared" ref="F27:H27" si="5">F28+F29</f>
        <v>7305</v>
      </c>
      <c r="G27" s="21">
        <f>G28+G29</f>
        <v>14610</v>
      </c>
      <c r="H27" s="21">
        <f t="shared" si="5"/>
        <v>7305</v>
      </c>
    </row>
    <row r="28" spans="1:14" ht="22.2" hidden="1" customHeight="1" x14ac:dyDescent="0.3">
      <c r="A28" s="44"/>
      <c r="B28" s="45" t="s">
        <v>19</v>
      </c>
      <c r="C28" s="46">
        <v>0.8</v>
      </c>
      <c r="D28" s="46">
        <v>0.2</v>
      </c>
      <c r="E28" s="47">
        <f>14600+10</f>
        <v>14610</v>
      </c>
      <c r="F28" s="47">
        <f>E28*50%</f>
        <v>7305</v>
      </c>
      <c r="G28" s="47">
        <f>14600+10</f>
        <v>14610</v>
      </c>
      <c r="H28" s="47">
        <f>G28*50%</f>
        <v>7305</v>
      </c>
    </row>
    <row r="29" spans="1:14" ht="22.2" hidden="1" customHeight="1" x14ac:dyDescent="0.3">
      <c r="A29" s="44"/>
      <c r="B29" s="45" t="s">
        <v>32</v>
      </c>
      <c r="C29" s="46">
        <v>0.3</v>
      </c>
      <c r="D29" s="46">
        <v>0.7</v>
      </c>
      <c r="E29" s="47"/>
      <c r="F29" s="47">
        <f>E29*0.7</f>
        <v>0</v>
      </c>
      <c r="G29" s="47"/>
      <c r="H29" s="47">
        <f>G29*0.7</f>
        <v>0</v>
      </c>
    </row>
    <row r="30" spans="1:14" ht="22.2" customHeight="1" x14ac:dyDescent="0.3">
      <c r="A30" s="36">
        <v>8</v>
      </c>
      <c r="B30" s="37" t="s">
        <v>33</v>
      </c>
      <c r="C30" s="20">
        <v>1</v>
      </c>
      <c r="D30" s="20"/>
      <c r="E30" s="21">
        <v>4450</v>
      </c>
      <c r="F30" s="48">
        <f>E30*0.5</f>
        <v>2225</v>
      </c>
      <c r="G30" s="21">
        <v>4450</v>
      </c>
      <c r="H30" s="48">
        <f>G30*0.5</f>
        <v>2225</v>
      </c>
    </row>
    <row r="31" spans="1:14" ht="22.2" customHeight="1" x14ac:dyDescent="0.3">
      <c r="A31" s="49" t="s">
        <v>34</v>
      </c>
      <c r="B31" s="50" t="s">
        <v>35</v>
      </c>
      <c r="C31" s="12"/>
      <c r="D31" s="12"/>
      <c r="E31" s="17">
        <f>E32+E33</f>
        <v>204278</v>
      </c>
      <c r="F31" s="17">
        <f t="shared" ref="F31:H31" si="6">F32+F33</f>
        <v>204278</v>
      </c>
      <c r="G31" s="17">
        <f t="shared" si="6"/>
        <v>204278</v>
      </c>
      <c r="H31" s="17">
        <f t="shared" si="6"/>
        <v>204278</v>
      </c>
    </row>
    <row r="32" spans="1:14" ht="22.2" customHeight="1" x14ac:dyDescent="0.3">
      <c r="A32" s="51">
        <v>1</v>
      </c>
      <c r="B32" s="52" t="s">
        <v>36</v>
      </c>
      <c r="C32" s="20"/>
      <c r="D32" s="20"/>
      <c r="E32" s="21">
        <v>154822</v>
      </c>
      <c r="F32" s="21">
        <f>E32</f>
        <v>154822</v>
      </c>
      <c r="G32" s="21">
        <v>154822</v>
      </c>
      <c r="H32" s="21">
        <f>G32</f>
        <v>154822</v>
      </c>
    </row>
    <row r="33" spans="1:8" ht="22.2" customHeight="1" x14ac:dyDescent="0.3">
      <c r="A33" s="51">
        <v>2</v>
      </c>
      <c r="B33" s="52" t="s">
        <v>37</v>
      </c>
      <c r="C33" s="20"/>
      <c r="D33" s="20"/>
      <c r="E33" s="21">
        <f>39456+10000</f>
        <v>49456</v>
      </c>
      <c r="F33" s="21">
        <f>E33</f>
        <v>49456</v>
      </c>
      <c r="G33" s="21">
        <f>39456+10000</f>
        <v>49456</v>
      </c>
      <c r="H33" s="21">
        <f>G33</f>
        <v>49456</v>
      </c>
    </row>
    <row r="35" spans="1:8" ht="15.6" x14ac:dyDescent="0.3">
      <c r="F35" s="355" t="s">
        <v>181</v>
      </c>
      <c r="G35" s="355"/>
      <c r="H35" s="355"/>
    </row>
  </sheetData>
  <mergeCells count="12">
    <mergeCell ref="F35:H35"/>
    <mergeCell ref="A1:B1"/>
    <mergeCell ref="A2:B2"/>
    <mergeCell ref="A4:H4"/>
    <mergeCell ref="A5:H5"/>
    <mergeCell ref="A8:A9"/>
    <mergeCell ref="B8:B9"/>
    <mergeCell ref="C8:D8"/>
    <mergeCell ref="E8:F8"/>
    <mergeCell ref="G8:H8"/>
    <mergeCell ref="G7:H7"/>
    <mergeCell ref="G1:H1"/>
  </mergeCells>
  <pageMargins left="0.45" right="0.2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FB879-0C35-41A9-B389-ED1994BCC4E3}">
  <dimension ref="A1:I138"/>
  <sheetViews>
    <sheetView tabSelected="1" topLeftCell="A10" workbookViewId="0">
      <selection activeCell="G29" sqref="G29"/>
    </sheetView>
  </sheetViews>
  <sheetFormatPr defaultColWidth="8.88671875" defaultRowHeight="15.6" x14ac:dyDescent="0.3"/>
  <cols>
    <col min="1" max="1" width="6.6640625" style="54" customWidth="1"/>
    <col min="2" max="2" width="57.109375" style="54" customWidth="1"/>
    <col min="3" max="3" width="16.21875" style="54" customWidth="1"/>
    <col min="4" max="5" width="13.21875" style="54" customWidth="1"/>
    <col min="6" max="6" width="12.5546875" style="54" bestFit="1" customWidth="1"/>
    <col min="7" max="7" width="13" style="54" customWidth="1"/>
    <col min="8" max="8" width="7.44140625" style="56" customWidth="1"/>
    <col min="9" max="9" width="17" style="57" customWidth="1"/>
    <col min="10" max="16384" width="8.88671875" style="54"/>
  </cols>
  <sheetData>
    <row r="1" spans="1:9" ht="15.6" customHeight="1" x14ac:dyDescent="0.3">
      <c r="A1" s="367" t="s">
        <v>38</v>
      </c>
      <c r="B1" s="367"/>
      <c r="C1" s="337"/>
      <c r="D1" s="337"/>
      <c r="E1" s="55"/>
    </row>
    <row r="2" spans="1:9" x14ac:dyDescent="0.3">
      <c r="A2" s="367" t="s">
        <v>39</v>
      </c>
      <c r="B2" s="367"/>
    </row>
    <row r="3" spans="1:9" x14ac:dyDescent="0.3">
      <c r="A3" s="53"/>
      <c r="B3" s="53"/>
    </row>
    <row r="4" spans="1:9" x14ac:dyDescent="0.3">
      <c r="A4" s="367" t="s">
        <v>292</v>
      </c>
      <c r="B4" s="367"/>
      <c r="C4" s="367"/>
      <c r="D4" s="367"/>
      <c r="E4" s="53"/>
    </row>
    <row r="5" spans="1:9" x14ac:dyDescent="0.3">
      <c r="A5" s="337" t="s">
        <v>40</v>
      </c>
      <c r="B5" s="337"/>
      <c r="C5" s="337"/>
      <c r="D5" s="337"/>
      <c r="E5" s="58"/>
    </row>
    <row r="6" spans="1:9" ht="5.4" customHeight="1" x14ac:dyDescent="0.3">
      <c r="A6" s="58"/>
      <c r="B6" s="58"/>
      <c r="C6" s="59"/>
      <c r="D6" s="58"/>
      <c r="E6" s="58"/>
    </row>
    <row r="7" spans="1:9" ht="18.600000000000001" customHeight="1" x14ac:dyDescent="0.3">
      <c r="A7" s="60"/>
      <c r="B7" s="368" t="s">
        <v>41</v>
      </c>
      <c r="C7" s="368"/>
      <c r="D7" s="368"/>
      <c r="E7" s="61"/>
    </row>
    <row r="8" spans="1:9" s="60" customFormat="1" ht="31.2" x14ac:dyDescent="0.3">
      <c r="A8" s="62" t="s">
        <v>2</v>
      </c>
      <c r="B8" s="62" t="s">
        <v>3</v>
      </c>
      <c r="C8" s="63" t="s">
        <v>284</v>
      </c>
      <c r="D8" s="64" t="s">
        <v>42</v>
      </c>
      <c r="E8" s="53"/>
      <c r="H8" s="53"/>
      <c r="I8" s="65"/>
    </row>
    <row r="9" spans="1:9" x14ac:dyDescent="0.3">
      <c r="A9" s="66"/>
      <c r="B9" s="66" t="s">
        <v>10</v>
      </c>
      <c r="C9" s="67">
        <f>C10+C14+C125+C126+C127</f>
        <v>258188</v>
      </c>
      <c r="D9" s="68"/>
      <c r="E9" s="69"/>
      <c r="F9" s="57"/>
      <c r="G9" s="70"/>
    </row>
    <row r="10" spans="1:9" s="56" customFormat="1" x14ac:dyDescent="0.3">
      <c r="A10" s="71" t="s">
        <v>11</v>
      </c>
      <c r="B10" s="72" t="s">
        <v>43</v>
      </c>
      <c r="C10" s="73">
        <f>SUM(C11:C13)</f>
        <v>49200</v>
      </c>
      <c r="D10" s="74"/>
      <c r="E10" s="75"/>
      <c r="F10" s="57"/>
      <c r="G10" s="83"/>
      <c r="I10" s="76"/>
    </row>
    <row r="11" spans="1:9" x14ac:dyDescent="0.3">
      <c r="A11" s="77">
        <v>1</v>
      </c>
      <c r="B11" s="78" t="s">
        <v>275</v>
      </c>
      <c r="C11" s="79">
        <v>36290</v>
      </c>
      <c r="D11" s="80"/>
      <c r="E11" s="81"/>
      <c r="F11" s="57"/>
      <c r="G11" s="82"/>
    </row>
    <row r="12" spans="1:9" x14ac:dyDescent="0.3">
      <c r="A12" s="77">
        <v>2</v>
      </c>
      <c r="B12" s="78" t="s">
        <v>45</v>
      </c>
      <c r="C12" s="79">
        <v>1910</v>
      </c>
      <c r="D12" s="80"/>
      <c r="E12" s="81"/>
      <c r="H12" s="83"/>
    </row>
    <row r="13" spans="1:9" x14ac:dyDescent="0.3">
      <c r="A13" s="77">
        <v>3</v>
      </c>
      <c r="B13" s="78" t="s">
        <v>276</v>
      </c>
      <c r="C13" s="79">
        <v>11000</v>
      </c>
      <c r="D13" s="80"/>
      <c r="E13" s="81"/>
      <c r="H13" s="83"/>
    </row>
    <row r="14" spans="1:9" s="56" customFormat="1" x14ac:dyDescent="0.3">
      <c r="A14" s="84" t="s">
        <v>46</v>
      </c>
      <c r="B14" s="85" t="s">
        <v>47</v>
      </c>
      <c r="C14" s="86">
        <f>C15+C27+C35+C39+C43+C59+C66+C68+C121</f>
        <v>200151.7</v>
      </c>
      <c r="D14" s="87"/>
      <c r="E14" s="88"/>
      <c r="G14" s="83"/>
      <c r="I14" s="76"/>
    </row>
    <row r="15" spans="1:9" x14ac:dyDescent="0.3">
      <c r="A15" s="89">
        <v>1</v>
      </c>
      <c r="B15" s="85" t="s">
        <v>48</v>
      </c>
      <c r="C15" s="86">
        <f>C16+C17</f>
        <v>2874</v>
      </c>
      <c r="D15" s="90"/>
      <c r="E15" s="91"/>
      <c r="G15" s="82"/>
    </row>
    <row r="16" spans="1:9" x14ac:dyDescent="0.3">
      <c r="A16" s="92" t="s">
        <v>49</v>
      </c>
      <c r="B16" s="93" t="s">
        <v>50</v>
      </c>
      <c r="C16" s="94">
        <f>370</f>
        <v>370</v>
      </c>
      <c r="D16" s="90"/>
      <c r="E16" s="95"/>
      <c r="F16" s="82"/>
      <c r="G16" s="82"/>
    </row>
    <row r="17" spans="1:9" x14ac:dyDescent="0.3">
      <c r="A17" s="92" t="s">
        <v>49</v>
      </c>
      <c r="B17" s="96" t="s">
        <v>51</v>
      </c>
      <c r="C17" s="97">
        <f>SUM(C18:C26)</f>
        <v>2504</v>
      </c>
      <c r="D17" s="90"/>
      <c r="E17" s="95"/>
      <c r="F17" s="82"/>
      <c r="G17" s="82"/>
    </row>
    <row r="18" spans="1:9" hidden="1" x14ac:dyDescent="0.3">
      <c r="A18" s="92"/>
      <c r="B18" s="96" t="s">
        <v>52</v>
      </c>
      <c r="C18" s="97">
        <f>75+288</f>
        <v>363</v>
      </c>
      <c r="D18" s="90"/>
      <c r="E18" s="95"/>
    </row>
    <row r="19" spans="1:9" hidden="1" x14ac:dyDescent="0.3">
      <c r="A19" s="92"/>
      <c r="B19" s="96" t="s">
        <v>53</v>
      </c>
      <c r="C19" s="97">
        <v>56</v>
      </c>
      <c r="D19" s="90"/>
      <c r="E19" s="95"/>
    </row>
    <row r="20" spans="1:9" hidden="1" x14ac:dyDescent="0.3">
      <c r="A20" s="92"/>
      <c r="B20" s="96" t="s">
        <v>54</v>
      </c>
      <c r="C20" s="97">
        <v>11</v>
      </c>
      <c r="D20" s="90"/>
      <c r="E20" s="95"/>
    </row>
    <row r="21" spans="1:9" hidden="1" x14ac:dyDescent="0.3">
      <c r="A21" s="92"/>
      <c r="B21" s="96" t="s">
        <v>55</v>
      </c>
      <c r="C21" s="97">
        <v>17</v>
      </c>
      <c r="D21" s="90"/>
      <c r="E21" s="95"/>
    </row>
    <row r="22" spans="1:9" hidden="1" x14ac:dyDescent="0.3">
      <c r="A22" s="92"/>
      <c r="B22" s="96" t="s">
        <v>56</v>
      </c>
      <c r="C22" s="97">
        <v>1241</v>
      </c>
      <c r="D22" s="90"/>
      <c r="E22" s="95"/>
    </row>
    <row r="23" spans="1:9" hidden="1" x14ac:dyDescent="0.3">
      <c r="A23" s="92"/>
      <c r="B23" s="96" t="s">
        <v>57</v>
      </c>
      <c r="C23" s="97">
        <v>271</v>
      </c>
      <c r="D23" s="90"/>
      <c r="E23" s="95"/>
    </row>
    <row r="24" spans="1:9" hidden="1" x14ac:dyDescent="0.3">
      <c r="A24" s="92"/>
      <c r="B24" s="96" t="s">
        <v>58</v>
      </c>
      <c r="C24" s="97">
        <f>30</f>
        <v>30</v>
      </c>
      <c r="D24" s="90"/>
      <c r="E24" s="95"/>
    </row>
    <row r="25" spans="1:9" hidden="1" x14ac:dyDescent="0.3">
      <c r="A25" s="92"/>
      <c r="B25" s="96" t="s">
        <v>59</v>
      </c>
      <c r="C25" s="97">
        <f>15</f>
        <v>15</v>
      </c>
      <c r="D25" s="90"/>
      <c r="E25" s="95"/>
    </row>
    <row r="26" spans="1:9" hidden="1" x14ac:dyDescent="0.3">
      <c r="A26" s="92"/>
      <c r="B26" s="96" t="s">
        <v>60</v>
      </c>
      <c r="C26" s="97">
        <v>500</v>
      </c>
      <c r="D26" s="90"/>
      <c r="E26" s="95"/>
    </row>
    <row r="27" spans="1:9" s="56" customFormat="1" x14ac:dyDescent="0.3">
      <c r="A27" s="98">
        <v>2</v>
      </c>
      <c r="B27" s="99" t="s">
        <v>61</v>
      </c>
      <c r="C27" s="86">
        <f>+SUM(C28:C29)</f>
        <v>99109.7</v>
      </c>
      <c r="D27" s="87"/>
      <c r="E27" s="88"/>
      <c r="G27" s="82"/>
      <c r="I27" s="76"/>
    </row>
    <row r="28" spans="1:9" x14ac:dyDescent="0.3">
      <c r="A28" s="51" t="s">
        <v>49</v>
      </c>
      <c r="B28" s="93" t="s">
        <v>62</v>
      </c>
      <c r="C28" s="97">
        <v>97763</v>
      </c>
      <c r="D28" s="100"/>
      <c r="E28" s="101"/>
      <c r="G28" s="82"/>
      <c r="H28" s="83"/>
    </row>
    <row r="29" spans="1:9" x14ac:dyDescent="0.3">
      <c r="A29" s="51" t="s">
        <v>49</v>
      </c>
      <c r="B29" s="93" t="s">
        <v>63</v>
      </c>
      <c r="C29" s="97">
        <f>C30+C31+C32+C33+C34</f>
        <v>1346.6999999999998</v>
      </c>
      <c r="D29" s="90"/>
      <c r="E29" s="95"/>
      <c r="G29" s="102"/>
      <c r="H29" s="103"/>
    </row>
    <row r="30" spans="1:9" s="59" customFormat="1" ht="16.2" hidden="1" x14ac:dyDescent="0.3">
      <c r="A30" s="104"/>
      <c r="B30" s="105" t="s">
        <v>64</v>
      </c>
      <c r="C30" s="106">
        <v>521.9</v>
      </c>
      <c r="D30" s="107"/>
      <c r="E30" s="108"/>
      <c r="H30" s="109"/>
      <c r="I30" s="110"/>
    </row>
    <row r="31" spans="1:9" s="59" customFormat="1" ht="16.2" hidden="1" x14ac:dyDescent="0.3">
      <c r="A31" s="104"/>
      <c r="B31" s="111" t="s">
        <v>65</v>
      </c>
      <c r="C31" s="106">
        <f>67.3+16.9</f>
        <v>84.199999999999989</v>
      </c>
      <c r="D31" s="107"/>
      <c r="E31" s="108"/>
      <c r="H31" s="112"/>
      <c r="I31" s="110"/>
    </row>
    <row r="32" spans="1:9" s="59" customFormat="1" ht="16.2" hidden="1" x14ac:dyDescent="0.3">
      <c r="A32" s="104"/>
      <c r="B32" s="111" t="s">
        <v>66</v>
      </c>
      <c r="C32" s="106">
        <v>33.1</v>
      </c>
      <c r="D32" s="107"/>
      <c r="E32" s="108"/>
      <c r="H32" s="113"/>
      <c r="I32" s="110"/>
    </row>
    <row r="33" spans="1:9" s="59" customFormat="1" ht="16.2" hidden="1" x14ac:dyDescent="0.3">
      <c r="A33" s="104"/>
      <c r="B33" s="111" t="s">
        <v>67</v>
      </c>
      <c r="C33" s="106">
        <v>7.5</v>
      </c>
      <c r="D33" s="107"/>
      <c r="E33" s="108"/>
      <c r="H33" s="113"/>
      <c r="I33" s="110"/>
    </row>
    <row r="34" spans="1:9" s="59" customFormat="1" ht="16.2" hidden="1" x14ac:dyDescent="0.3">
      <c r="A34" s="104"/>
      <c r="B34" s="111" t="s">
        <v>68</v>
      </c>
      <c r="C34" s="106">
        <v>700</v>
      </c>
      <c r="D34" s="107"/>
      <c r="E34" s="108"/>
      <c r="H34" s="113"/>
      <c r="I34" s="110"/>
    </row>
    <row r="35" spans="1:9" s="56" customFormat="1" x14ac:dyDescent="0.3">
      <c r="A35" s="98">
        <v>3</v>
      </c>
      <c r="B35" s="99" t="s">
        <v>69</v>
      </c>
      <c r="C35" s="86">
        <f>SUM(C36:C38)</f>
        <v>3940</v>
      </c>
      <c r="D35" s="87"/>
      <c r="E35" s="88"/>
      <c r="I35" s="76"/>
    </row>
    <row r="36" spans="1:9" x14ac:dyDescent="0.3">
      <c r="A36" s="114" t="s">
        <v>49</v>
      </c>
      <c r="B36" s="93" t="s">
        <v>293</v>
      </c>
      <c r="C36" s="97">
        <v>1900</v>
      </c>
      <c r="D36" s="90"/>
      <c r="E36" s="95"/>
      <c r="H36" s="54"/>
    </row>
    <row r="37" spans="1:9" x14ac:dyDescent="0.3">
      <c r="A37" s="114" t="s">
        <v>49</v>
      </c>
      <c r="B37" s="93" t="s">
        <v>70</v>
      </c>
      <c r="C37" s="97">
        <v>730</v>
      </c>
      <c r="D37" s="90"/>
      <c r="E37" s="95"/>
      <c r="H37" s="83"/>
    </row>
    <row r="38" spans="1:9" x14ac:dyDescent="0.3">
      <c r="A38" s="114" t="s">
        <v>49</v>
      </c>
      <c r="B38" s="115" t="s">
        <v>71</v>
      </c>
      <c r="C38" s="97">
        <f>3210-1900</f>
        <v>1310</v>
      </c>
      <c r="D38" s="87"/>
      <c r="E38" s="88"/>
      <c r="G38" s="82"/>
    </row>
    <row r="39" spans="1:9" s="56" customFormat="1" ht="31.2" x14ac:dyDescent="0.3">
      <c r="A39" s="89">
        <v>4</v>
      </c>
      <c r="B39" s="85" t="s">
        <v>72</v>
      </c>
      <c r="C39" s="116">
        <f>SUM(C40:C42)</f>
        <v>440</v>
      </c>
      <c r="D39" s="87"/>
      <c r="E39" s="88"/>
      <c r="F39" s="83"/>
      <c r="I39" s="76"/>
    </row>
    <row r="40" spans="1:9" x14ac:dyDescent="0.3">
      <c r="A40" s="114" t="s">
        <v>49</v>
      </c>
      <c r="B40" s="115" t="s">
        <v>73</v>
      </c>
      <c r="C40" s="97">
        <f>331</f>
        <v>331</v>
      </c>
      <c r="D40" s="90"/>
      <c r="E40" s="95"/>
      <c r="F40" s="82"/>
      <c r="G40" s="82"/>
    </row>
    <row r="41" spans="1:9" x14ac:dyDescent="0.3">
      <c r="A41" s="114" t="s">
        <v>49</v>
      </c>
      <c r="B41" s="115" t="s">
        <v>74</v>
      </c>
      <c r="C41" s="97">
        <f>90</f>
        <v>90</v>
      </c>
      <c r="D41" s="90"/>
      <c r="E41" s="95"/>
      <c r="F41" s="82"/>
      <c r="G41" s="82"/>
    </row>
    <row r="42" spans="1:9" x14ac:dyDescent="0.3">
      <c r="A42" s="114" t="s">
        <v>49</v>
      </c>
      <c r="B42" s="115" t="s">
        <v>75</v>
      </c>
      <c r="C42" s="97">
        <v>19</v>
      </c>
      <c r="D42" s="90"/>
      <c r="E42" s="95"/>
    </row>
    <row r="43" spans="1:9" s="56" customFormat="1" x14ac:dyDescent="0.3">
      <c r="A43" s="89">
        <v>5</v>
      </c>
      <c r="B43" s="85" t="s">
        <v>76</v>
      </c>
      <c r="C43" s="116">
        <f>SUM(C44:C58)</f>
        <v>39805</v>
      </c>
      <c r="D43" s="90"/>
      <c r="E43" s="95"/>
      <c r="I43" s="76"/>
    </row>
    <row r="44" spans="1:9" x14ac:dyDescent="0.3">
      <c r="A44" s="114" t="s">
        <v>49</v>
      </c>
      <c r="B44" s="115" t="s">
        <v>77</v>
      </c>
      <c r="C44" s="97">
        <v>779</v>
      </c>
      <c r="D44" s="90"/>
      <c r="E44" s="95"/>
      <c r="G44" s="57"/>
    </row>
    <row r="45" spans="1:9" x14ac:dyDescent="0.3">
      <c r="A45" s="114" t="s">
        <v>49</v>
      </c>
      <c r="B45" s="115" t="s">
        <v>78</v>
      </c>
      <c r="C45" s="97">
        <f>135</f>
        <v>135</v>
      </c>
      <c r="D45" s="90"/>
      <c r="E45" s="95"/>
      <c r="G45" s="82"/>
    </row>
    <row r="46" spans="1:9" x14ac:dyDescent="0.3">
      <c r="A46" s="114" t="s">
        <v>49</v>
      </c>
      <c r="B46" s="115" t="s">
        <v>79</v>
      </c>
      <c r="C46" s="97">
        <v>33</v>
      </c>
      <c r="D46" s="90"/>
      <c r="E46" s="95"/>
    </row>
    <row r="47" spans="1:9" x14ac:dyDescent="0.3">
      <c r="A47" s="114" t="s">
        <v>49</v>
      </c>
      <c r="B47" s="115" t="s">
        <v>80</v>
      </c>
      <c r="C47" s="97">
        <v>42</v>
      </c>
      <c r="D47" s="90"/>
      <c r="E47" s="95"/>
    </row>
    <row r="48" spans="1:9" ht="31.2" x14ac:dyDescent="0.3">
      <c r="A48" s="114" t="s">
        <v>49</v>
      </c>
      <c r="B48" s="115" t="s">
        <v>81</v>
      </c>
      <c r="C48" s="97">
        <v>286</v>
      </c>
      <c r="D48" s="90"/>
      <c r="E48" s="95"/>
    </row>
    <row r="49" spans="1:8" ht="31.2" x14ac:dyDescent="0.3">
      <c r="A49" s="114" t="s">
        <v>49</v>
      </c>
      <c r="B49" s="115" t="s">
        <v>82</v>
      </c>
      <c r="C49" s="97">
        <v>277</v>
      </c>
      <c r="D49" s="90"/>
      <c r="E49" s="95"/>
    </row>
    <row r="50" spans="1:8" ht="31.2" x14ac:dyDescent="0.3">
      <c r="A50" s="114" t="s">
        <v>49</v>
      </c>
      <c r="B50" s="115" t="s">
        <v>83</v>
      </c>
      <c r="C50" s="97">
        <v>5</v>
      </c>
      <c r="D50" s="90"/>
      <c r="E50" s="95"/>
    </row>
    <row r="51" spans="1:8" x14ac:dyDescent="0.3">
      <c r="A51" s="114" t="s">
        <v>49</v>
      </c>
      <c r="B51" s="115" t="s">
        <v>84</v>
      </c>
      <c r="C51" s="97">
        <v>278</v>
      </c>
      <c r="D51" s="90"/>
      <c r="E51" s="95"/>
    </row>
    <row r="52" spans="1:8" ht="31.2" x14ac:dyDescent="0.3">
      <c r="A52" s="114" t="s">
        <v>49</v>
      </c>
      <c r="B52" s="115" t="s">
        <v>85</v>
      </c>
      <c r="C52" s="97">
        <v>13295</v>
      </c>
      <c r="D52" s="87"/>
      <c r="E52" s="88"/>
    </row>
    <row r="53" spans="1:8" x14ac:dyDescent="0.3">
      <c r="A53" s="114" t="s">
        <v>49</v>
      </c>
      <c r="B53" s="115" t="s">
        <v>86</v>
      </c>
      <c r="C53" s="97">
        <v>679</v>
      </c>
      <c r="D53" s="87"/>
      <c r="E53" s="88"/>
    </row>
    <row r="54" spans="1:8" ht="31.2" x14ac:dyDescent="0.3">
      <c r="A54" s="114" t="s">
        <v>49</v>
      </c>
      <c r="B54" s="115" t="s">
        <v>87</v>
      </c>
      <c r="C54" s="97">
        <v>23405</v>
      </c>
      <c r="D54" s="87"/>
      <c r="E54" s="88"/>
    </row>
    <row r="55" spans="1:8" ht="31.2" x14ac:dyDescent="0.3">
      <c r="A55" s="114" t="s">
        <v>49</v>
      </c>
      <c r="B55" s="115" t="s">
        <v>88</v>
      </c>
      <c r="C55" s="97">
        <v>36</v>
      </c>
      <c r="D55" s="87"/>
      <c r="E55" s="88"/>
    </row>
    <row r="56" spans="1:8" x14ac:dyDescent="0.3">
      <c r="A56" s="114" t="s">
        <v>49</v>
      </c>
      <c r="B56" s="115" t="s">
        <v>89</v>
      </c>
      <c r="C56" s="97">
        <v>20</v>
      </c>
      <c r="D56" s="87"/>
      <c r="E56" s="88"/>
    </row>
    <row r="57" spans="1:8" x14ac:dyDescent="0.3">
      <c r="A57" s="114" t="s">
        <v>49</v>
      </c>
      <c r="B57" s="115" t="s">
        <v>90</v>
      </c>
      <c r="C57" s="97">
        <v>305</v>
      </c>
      <c r="D57" s="87"/>
      <c r="E57" s="88"/>
    </row>
    <row r="58" spans="1:8" x14ac:dyDescent="0.3">
      <c r="A58" s="114" t="s">
        <v>49</v>
      </c>
      <c r="B58" s="115" t="s">
        <v>91</v>
      </c>
      <c r="C58" s="97">
        <f>230</f>
        <v>230</v>
      </c>
      <c r="D58" s="87"/>
      <c r="E58" s="95"/>
      <c r="F58" s="82"/>
      <c r="G58" s="82"/>
    </row>
    <row r="59" spans="1:8" x14ac:dyDescent="0.3">
      <c r="A59" s="89">
        <v>6</v>
      </c>
      <c r="B59" s="85" t="s">
        <v>92</v>
      </c>
      <c r="C59" s="86">
        <f>+SUM(C60:C65)</f>
        <v>14634</v>
      </c>
      <c r="D59" s="87"/>
      <c r="E59" s="88"/>
    </row>
    <row r="60" spans="1:8" x14ac:dyDescent="0.3">
      <c r="A60" s="114" t="s">
        <v>49</v>
      </c>
      <c r="B60" s="115" t="s">
        <v>93</v>
      </c>
      <c r="C60" s="97">
        <f>7669-1457-599-1490-100-402</f>
        <v>3621</v>
      </c>
      <c r="D60" s="90"/>
      <c r="E60" s="95"/>
      <c r="F60" s="82"/>
      <c r="G60" s="82"/>
      <c r="H60" s="83"/>
    </row>
    <row r="61" spans="1:8" x14ac:dyDescent="0.3">
      <c r="A61" s="114" t="s">
        <v>49</v>
      </c>
      <c r="B61" s="115" t="s">
        <v>94</v>
      </c>
      <c r="C61" s="97">
        <v>1437</v>
      </c>
      <c r="D61" s="90"/>
      <c r="E61" s="95"/>
    </row>
    <row r="62" spans="1:8" x14ac:dyDescent="0.3">
      <c r="A62" s="114" t="s">
        <v>49</v>
      </c>
      <c r="B62" s="115" t="s">
        <v>95</v>
      </c>
      <c r="C62" s="97">
        <v>1146</v>
      </c>
      <c r="D62" s="90"/>
      <c r="E62" s="95"/>
    </row>
    <row r="63" spans="1:8" x14ac:dyDescent="0.3">
      <c r="A63" s="114" t="s">
        <v>49</v>
      </c>
      <c r="B63" s="115" t="s">
        <v>96</v>
      </c>
      <c r="C63" s="117">
        <f>5550-1000</f>
        <v>4550</v>
      </c>
      <c r="D63" s="90"/>
      <c r="E63" s="95"/>
    </row>
    <row r="64" spans="1:8" x14ac:dyDescent="0.3">
      <c r="A64" s="114" t="s">
        <v>49</v>
      </c>
      <c r="B64" s="115" t="s">
        <v>97</v>
      </c>
      <c r="C64" s="97">
        <v>880</v>
      </c>
      <c r="D64" s="90"/>
      <c r="E64" s="95"/>
    </row>
    <row r="65" spans="1:9" x14ac:dyDescent="0.3">
      <c r="A65" s="114" t="s">
        <v>49</v>
      </c>
      <c r="B65" s="115" t="s">
        <v>98</v>
      </c>
      <c r="C65" s="118">
        <v>3000</v>
      </c>
      <c r="D65" s="90"/>
      <c r="E65" s="95"/>
    </row>
    <row r="66" spans="1:9" s="56" customFormat="1" x14ac:dyDescent="0.3">
      <c r="A66" s="84">
        <v>7</v>
      </c>
      <c r="B66" s="85" t="s">
        <v>99</v>
      </c>
      <c r="C66" s="86">
        <f>C67</f>
        <v>2500</v>
      </c>
      <c r="D66" s="87"/>
      <c r="E66" s="88"/>
      <c r="I66" s="76"/>
    </row>
    <row r="67" spans="1:9" x14ac:dyDescent="0.3">
      <c r="A67" s="119" t="s">
        <v>49</v>
      </c>
      <c r="B67" s="115" t="s">
        <v>100</v>
      </c>
      <c r="C67" s="97">
        <v>2500</v>
      </c>
      <c r="D67" s="120"/>
      <c r="E67" s="121"/>
    </row>
    <row r="68" spans="1:9" s="56" customFormat="1" x14ac:dyDescent="0.3">
      <c r="A68" s="84">
        <v>8</v>
      </c>
      <c r="B68" s="85" t="s">
        <v>101</v>
      </c>
      <c r="C68" s="86">
        <f>C69+C96+C108+C116</f>
        <v>28732</v>
      </c>
      <c r="D68" s="87"/>
      <c r="E68" s="88"/>
      <c r="I68" s="76"/>
    </row>
    <row r="69" spans="1:9" s="56" customFormat="1" x14ac:dyDescent="0.3">
      <c r="A69" s="84" t="s">
        <v>102</v>
      </c>
      <c r="B69" s="85" t="s">
        <v>103</v>
      </c>
      <c r="C69" s="86">
        <f>SUM(C70:C95)</f>
        <v>19535</v>
      </c>
      <c r="D69" s="87"/>
      <c r="E69" s="88"/>
      <c r="I69" s="76"/>
    </row>
    <row r="70" spans="1:9" s="56" customFormat="1" x14ac:dyDescent="0.3">
      <c r="A70" s="119" t="s">
        <v>49</v>
      </c>
      <c r="B70" s="115" t="s">
        <v>104</v>
      </c>
      <c r="C70" s="122">
        <f>7629+344</f>
        <v>7973</v>
      </c>
      <c r="D70" s="90"/>
      <c r="E70" s="95"/>
      <c r="F70" s="83"/>
      <c r="G70" s="83"/>
      <c r="H70" s="83"/>
      <c r="I70" s="76"/>
    </row>
    <row r="71" spans="1:9" s="56" customFormat="1" x14ac:dyDescent="0.3">
      <c r="A71" s="119" t="s">
        <v>49</v>
      </c>
      <c r="B71" s="115" t="s">
        <v>65</v>
      </c>
      <c r="C71" s="117">
        <f>1312+185+402</f>
        <v>1899</v>
      </c>
      <c r="D71" s="90"/>
      <c r="E71" s="95"/>
      <c r="H71" s="123"/>
      <c r="I71" s="76"/>
    </row>
    <row r="72" spans="1:9" s="56" customFormat="1" x14ac:dyDescent="0.3">
      <c r="A72" s="119" t="s">
        <v>105</v>
      </c>
      <c r="B72" s="115" t="s">
        <v>66</v>
      </c>
      <c r="C72" s="122">
        <v>430</v>
      </c>
      <c r="D72" s="90"/>
      <c r="E72" s="95"/>
      <c r="H72" s="83"/>
      <c r="I72" s="76"/>
    </row>
    <row r="73" spans="1:9" s="56" customFormat="1" x14ac:dyDescent="0.3">
      <c r="A73" s="119" t="s">
        <v>105</v>
      </c>
      <c r="B73" s="115" t="s">
        <v>106</v>
      </c>
      <c r="C73" s="97">
        <v>435</v>
      </c>
      <c r="D73" s="90"/>
      <c r="E73" s="95"/>
      <c r="I73" s="76"/>
    </row>
    <row r="74" spans="1:9" s="56" customFormat="1" x14ac:dyDescent="0.3">
      <c r="A74" s="119" t="s">
        <v>105</v>
      </c>
      <c r="B74" s="115" t="s">
        <v>107</v>
      </c>
      <c r="C74" s="97">
        <v>1306</v>
      </c>
      <c r="D74" s="90"/>
      <c r="E74" s="95"/>
      <c r="I74" s="76"/>
    </row>
    <row r="75" spans="1:9" s="56" customFormat="1" x14ac:dyDescent="0.3">
      <c r="A75" s="119" t="s">
        <v>105</v>
      </c>
      <c r="B75" s="115" t="s">
        <v>108</v>
      </c>
      <c r="C75" s="97">
        <v>67</v>
      </c>
      <c r="D75" s="90"/>
      <c r="E75" s="95"/>
      <c r="I75" s="76"/>
    </row>
    <row r="76" spans="1:9" s="56" customFormat="1" x14ac:dyDescent="0.3">
      <c r="A76" s="51" t="s">
        <v>49</v>
      </c>
      <c r="B76" s="93" t="s">
        <v>109</v>
      </c>
      <c r="C76" s="97">
        <v>28</v>
      </c>
      <c r="D76" s="90"/>
      <c r="E76" s="95"/>
      <c r="I76" s="76"/>
    </row>
    <row r="77" spans="1:9" s="56" customFormat="1" x14ac:dyDescent="0.3">
      <c r="A77" s="119" t="s">
        <v>105</v>
      </c>
      <c r="B77" s="115" t="s">
        <v>110</v>
      </c>
      <c r="C77" s="97">
        <v>435</v>
      </c>
      <c r="D77" s="90"/>
      <c r="E77" s="95"/>
      <c r="I77" s="76"/>
    </row>
    <row r="78" spans="1:9" s="56" customFormat="1" x14ac:dyDescent="0.3">
      <c r="A78" s="119" t="s">
        <v>105</v>
      </c>
      <c r="B78" s="115" t="s">
        <v>111</v>
      </c>
      <c r="C78" s="97">
        <v>691</v>
      </c>
      <c r="D78" s="90"/>
      <c r="E78" s="95"/>
      <c r="I78" s="76"/>
    </row>
    <row r="79" spans="1:9" s="56" customFormat="1" x14ac:dyDescent="0.3">
      <c r="A79" s="119" t="s">
        <v>105</v>
      </c>
      <c r="B79" s="115" t="s">
        <v>112</v>
      </c>
      <c r="C79" s="117">
        <v>500</v>
      </c>
      <c r="D79" s="90"/>
      <c r="E79" s="95"/>
      <c r="I79" s="76"/>
    </row>
    <row r="80" spans="1:9" s="56" customFormat="1" x14ac:dyDescent="0.3">
      <c r="A80" s="119" t="s">
        <v>49</v>
      </c>
      <c r="B80" s="115" t="s">
        <v>113</v>
      </c>
      <c r="C80" s="97">
        <v>45</v>
      </c>
      <c r="D80" s="90"/>
      <c r="E80" s="95"/>
      <c r="I80" s="76"/>
    </row>
    <row r="81" spans="1:9" s="56" customFormat="1" x14ac:dyDescent="0.3">
      <c r="A81" s="119" t="s">
        <v>105</v>
      </c>
      <c r="B81" s="115" t="s">
        <v>114</v>
      </c>
      <c r="C81" s="97">
        <f>410+100</f>
        <v>510</v>
      </c>
      <c r="D81" s="90"/>
      <c r="E81" s="95"/>
      <c r="I81" s="76"/>
    </row>
    <row r="82" spans="1:9" s="56" customFormat="1" x14ac:dyDescent="0.3">
      <c r="A82" s="119" t="s">
        <v>105</v>
      </c>
      <c r="B82" s="124" t="s">
        <v>115</v>
      </c>
      <c r="C82" s="125">
        <v>2131</v>
      </c>
      <c r="D82" s="90"/>
      <c r="E82" s="95"/>
      <c r="I82" s="76"/>
    </row>
    <row r="83" spans="1:9" s="56" customFormat="1" x14ac:dyDescent="0.3">
      <c r="A83" s="119" t="s">
        <v>105</v>
      </c>
      <c r="B83" s="124" t="s">
        <v>116</v>
      </c>
      <c r="C83" s="125">
        <v>270</v>
      </c>
      <c r="D83" s="90"/>
      <c r="E83" s="95"/>
      <c r="I83" s="76"/>
    </row>
    <row r="84" spans="1:9" s="56" customFormat="1" x14ac:dyDescent="0.3">
      <c r="A84" s="119" t="s">
        <v>105</v>
      </c>
      <c r="B84" s="124" t="s">
        <v>117</v>
      </c>
      <c r="C84" s="126">
        <v>331</v>
      </c>
      <c r="D84" s="90"/>
      <c r="E84" s="95"/>
      <c r="I84" s="76"/>
    </row>
    <row r="85" spans="1:9" s="56" customFormat="1" x14ac:dyDescent="0.3">
      <c r="A85" s="119" t="s">
        <v>105</v>
      </c>
      <c r="B85" s="115" t="s">
        <v>118</v>
      </c>
      <c r="C85" s="97">
        <v>548</v>
      </c>
      <c r="D85" s="90"/>
      <c r="E85" s="95"/>
      <c r="I85" s="76"/>
    </row>
    <row r="86" spans="1:9" s="56" customFormat="1" x14ac:dyDescent="0.3">
      <c r="A86" s="119" t="s">
        <v>105</v>
      </c>
      <c r="B86" s="115" t="s">
        <v>119</v>
      </c>
      <c r="C86" s="97">
        <v>354</v>
      </c>
      <c r="D86" s="90"/>
      <c r="E86" s="95"/>
      <c r="I86" s="76"/>
    </row>
    <row r="87" spans="1:9" s="56" customFormat="1" x14ac:dyDescent="0.3">
      <c r="A87" s="119" t="s">
        <v>105</v>
      </c>
      <c r="B87" s="115" t="s">
        <v>120</v>
      </c>
      <c r="C87" s="97">
        <v>354</v>
      </c>
      <c r="D87" s="90"/>
      <c r="E87" s="95"/>
      <c r="I87" s="76"/>
    </row>
    <row r="88" spans="1:9" s="56" customFormat="1" x14ac:dyDescent="0.3">
      <c r="A88" s="119" t="s">
        <v>105</v>
      </c>
      <c r="B88" s="115" t="s">
        <v>121</v>
      </c>
      <c r="C88" s="97">
        <v>354</v>
      </c>
      <c r="D88" s="90"/>
      <c r="E88" s="95"/>
      <c r="I88" s="76"/>
    </row>
    <row r="89" spans="1:9" s="56" customFormat="1" x14ac:dyDescent="0.3">
      <c r="A89" s="119" t="s">
        <v>105</v>
      </c>
      <c r="B89" s="115" t="s">
        <v>122</v>
      </c>
      <c r="C89" s="97">
        <v>354</v>
      </c>
      <c r="D89" s="90"/>
      <c r="E89" s="95"/>
      <c r="I89" s="76"/>
    </row>
    <row r="90" spans="1:9" s="56" customFormat="1" ht="31.2" x14ac:dyDescent="0.3">
      <c r="A90" s="114" t="s">
        <v>49</v>
      </c>
      <c r="B90" s="115" t="s">
        <v>123</v>
      </c>
      <c r="C90" s="97">
        <v>150</v>
      </c>
      <c r="D90" s="90"/>
      <c r="E90" s="95"/>
      <c r="I90" s="76"/>
    </row>
    <row r="91" spans="1:9" s="56" customFormat="1" ht="31.2" x14ac:dyDescent="0.3">
      <c r="A91" s="119" t="s">
        <v>49</v>
      </c>
      <c r="B91" s="115" t="s">
        <v>124</v>
      </c>
      <c r="C91" s="97">
        <v>66</v>
      </c>
      <c r="D91" s="90"/>
      <c r="E91" s="95"/>
      <c r="I91" s="76"/>
    </row>
    <row r="92" spans="1:9" s="56" customFormat="1" x14ac:dyDescent="0.3">
      <c r="A92" s="119" t="s">
        <v>49</v>
      </c>
      <c r="B92" s="115" t="s">
        <v>125</v>
      </c>
      <c r="C92" s="117">
        <v>30</v>
      </c>
      <c r="D92" s="90"/>
      <c r="E92" s="95"/>
      <c r="I92" s="76"/>
    </row>
    <row r="93" spans="1:9" s="56" customFormat="1" x14ac:dyDescent="0.3">
      <c r="A93" s="119" t="s">
        <v>49</v>
      </c>
      <c r="B93" s="115" t="s">
        <v>126</v>
      </c>
      <c r="C93" s="97">
        <v>30</v>
      </c>
      <c r="D93" s="90"/>
      <c r="E93" s="95"/>
      <c r="I93" s="76"/>
    </row>
    <row r="94" spans="1:9" s="56" customFormat="1" x14ac:dyDescent="0.3">
      <c r="A94" s="119" t="s">
        <v>49</v>
      </c>
      <c r="B94" s="115" t="s">
        <v>127</v>
      </c>
      <c r="C94" s="97">
        <f>55+43</f>
        <v>98</v>
      </c>
      <c r="D94" s="90"/>
      <c r="E94" s="95"/>
      <c r="I94" s="76"/>
    </row>
    <row r="95" spans="1:9" s="56" customFormat="1" x14ac:dyDescent="0.3">
      <c r="A95" s="119" t="s">
        <v>49</v>
      </c>
      <c r="B95" s="115" t="s">
        <v>67</v>
      </c>
      <c r="C95" s="97">
        <v>146</v>
      </c>
      <c r="D95" s="127"/>
      <c r="E95" s="128"/>
      <c r="I95" s="76"/>
    </row>
    <row r="96" spans="1:9" s="56" customFormat="1" x14ac:dyDescent="0.3">
      <c r="A96" s="84" t="s">
        <v>128</v>
      </c>
      <c r="B96" s="85" t="s">
        <v>129</v>
      </c>
      <c r="C96" s="86">
        <f>SUM(C97:C107)</f>
        <v>6106</v>
      </c>
      <c r="D96" s="87"/>
      <c r="E96" s="88"/>
      <c r="I96" s="76"/>
    </row>
    <row r="97" spans="1:9" s="56" customFormat="1" x14ac:dyDescent="0.3">
      <c r="A97" s="119" t="s">
        <v>49</v>
      </c>
      <c r="B97" s="115" t="s">
        <v>104</v>
      </c>
      <c r="C97" s="125">
        <v>2982</v>
      </c>
      <c r="D97" s="90"/>
      <c r="E97" s="95"/>
      <c r="G97" s="83"/>
      <c r="I97" s="76"/>
    </row>
    <row r="98" spans="1:9" s="56" customFormat="1" x14ac:dyDescent="0.3">
      <c r="A98" s="119" t="s">
        <v>49</v>
      </c>
      <c r="B98" s="115" t="s">
        <v>65</v>
      </c>
      <c r="C98" s="117">
        <f>(513+570)-111</f>
        <v>972</v>
      </c>
      <c r="D98" s="90"/>
      <c r="E98" s="95"/>
      <c r="I98" s="76"/>
    </row>
    <row r="99" spans="1:9" s="56" customFormat="1" x14ac:dyDescent="0.3">
      <c r="A99" s="119" t="s">
        <v>105</v>
      </c>
      <c r="B99" s="115" t="s">
        <v>130</v>
      </c>
      <c r="C99" s="125">
        <v>175</v>
      </c>
      <c r="D99" s="90"/>
      <c r="E99" s="95"/>
      <c r="G99" s="83"/>
      <c r="I99" s="76"/>
    </row>
    <row r="100" spans="1:9" s="56" customFormat="1" ht="31.2" x14ac:dyDescent="0.3">
      <c r="A100" s="119" t="s">
        <v>105</v>
      </c>
      <c r="B100" s="115" t="s">
        <v>131</v>
      </c>
      <c r="C100" s="129">
        <v>85</v>
      </c>
      <c r="D100" s="90"/>
      <c r="E100" s="95"/>
      <c r="I100" s="76"/>
    </row>
    <row r="101" spans="1:9" s="56" customFormat="1" x14ac:dyDescent="0.3">
      <c r="A101" s="119" t="s">
        <v>105</v>
      </c>
      <c r="B101" s="124" t="s">
        <v>132</v>
      </c>
      <c r="C101" s="125">
        <v>28</v>
      </c>
      <c r="D101" s="90"/>
      <c r="E101" s="95"/>
      <c r="I101" s="76"/>
    </row>
    <row r="102" spans="1:9" s="56" customFormat="1" x14ac:dyDescent="0.3">
      <c r="A102" s="119" t="s">
        <v>105</v>
      </c>
      <c r="B102" s="124" t="s">
        <v>133</v>
      </c>
      <c r="C102" s="125">
        <v>194</v>
      </c>
      <c r="D102" s="90"/>
      <c r="E102" s="95"/>
      <c r="H102" s="130"/>
      <c r="I102" s="76"/>
    </row>
    <row r="103" spans="1:9" s="56" customFormat="1" ht="31.2" x14ac:dyDescent="0.3">
      <c r="A103" s="119" t="s">
        <v>105</v>
      </c>
      <c r="B103" s="131" t="s">
        <v>134</v>
      </c>
      <c r="C103" s="129">
        <v>16</v>
      </c>
      <c r="D103" s="90"/>
      <c r="E103" s="95"/>
      <c r="I103" s="76"/>
    </row>
    <row r="104" spans="1:9" s="56" customFormat="1" x14ac:dyDescent="0.3">
      <c r="A104" s="119" t="s">
        <v>105</v>
      </c>
      <c r="B104" s="131" t="s">
        <v>135</v>
      </c>
      <c r="C104" s="125">
        <v>250</v>
      </c>
      <c r="D104" s="90"/>
      <c r="E104" s="95"/>
      <c r="I104" s="76"/>
    </row>
    <row r="105" spans="1:9" s="56" customFormat="1" ht="31.2" x14ac:dyDescent="0.3">
      <c r="A105" s="119" t="s">
        <v>105</v>
      </c>
      <c r="B105" s="131" t="s">
        <v>136</v>
      </c>
      <c r="C105" s="129">
        <v>73</v>
      </c>
      <c r="D105" s="90"/>
      <c r="E105" s="95"/>
      <c r="I105" s="76"/>
    </row>
    <row r="106" spans="1:9" s="56" customFormat="1" ht="31.2" x14ac:dyDescent="0.3">
      <c r="A106" s="119" t="s">
        <v>49</v>
      </c>
      <c r="B106" s="131" t="s">
        <v>137</v>
      </c>
      <c r="C106" s="97">
        <v>1274</v>
      </c>
      <c r="D106" s="90"/>
      <c r="E106" s="95"/>
      <c r="I106" s="76"/>
    </row>
    <row r="107" spans="1:9" s="53" customFormat="1" x14ac:dyDescent="0.3">
      <c r="A107" s="119" t="s">
        <v>49</v>
      </c>
      <c r="B107" s="132" t="s">
        <v>138</v>
      </c>
      <c r="C107" s="133">
        <v>57</v>
      </c>
      <c r="D107" s="127"/>
      <c r="E107" s="128"/>
      <c r="I107" s="134"/>
    </row>
    <row r="108" spans="1:9" s="56" customFormat="1" x14ac:dyDescent="0.3">
      <c r="A108" s="84" t="s">
        <v>139</v>
      </c>
      <c r="B108" s="85" t="s">
        <v>140</v>
      </c>
      <c r="C108" s="86">
        <f>SUM(C109:C115)</f>
        <v>2294</v>
      </c>
      <c r="D108" s="87"/>
      <c r="E108" s="88"/>
      <c r="I108" s="76"/>
    </row>
    <row r="109" spans="1:9" s="56" customFormat="1" x14ac:dyDescent="0.3">
      <c r="A109" s="119" t="s">
        <v>49</v>
      </c>
      <c r="B109" s="115" t="s">
        <v>104</v>
      </c>
      <c r="C109" s="97">
        <v>1706</v>
      </c>
      <c r="D109" s="90"/>
      <c r="E109" s="95"/>
      <c r="G109" s="83"/>
      <c r="I109" s="76"/>
    </row>
    <row r="110" spans="1:9" s="56" customFormat="1" x14ac:dyDescent="0.3">
      <c r="A110" s="119" t="s">
        <v>49</v>
      </c>
      <c r="B110" s="115" t="s">
        <v>65</v>
      </c>
      <c r="C110" s="117">
        <f>(286+29)-74</f>
        <v>241</v>
      </c>
      <c r="D110" s="90"/>
      <c r="E110" s="95"/>
      <c r="I110" s="76"/>
    </row>
    <row r="111" spans="1:9" s="56" customFormat="1" x14ac:dyDescent="0.3">
      <c r="A111" s="119" t="s">
        <v>49</v>
      </c>
      <c r="B111" s="115" t="s">
        <v>66</v>
      </c>
      <c r="C111" s="97">
        <v>100</v>
      </c>
      <c r="D111" s="90"/>
      <c r="E111" s="95"/>
      <c r="I111" s="76"/>
    </row>
    <row r="112" spans="1:9" s="56" customFormat="1" x14ac:dyDescent="0.3">
      <c r="A112" s="119" t="s">
        <v>49</v>
      </c>
      <c r="B112" s="115" t="s">
        <v>141</v>
      </c>
      <c r="C112" s="97">
        <v>10</v>
      </c>
      <c r="D112" s="90"/>
      <c r="E112" s="95"/>
      <c r="I112" s="76"/>
    </row>
    <row r="113" spans="1:9" s="56" customFormat="1" x14ac:dyDescent="0.3">
      <c r="A113" s="119" t="s">
        <v>49</v>
      </c>
      <c r="B113" s="115" t="s">
        <v>142</v>
      </c>
      <c r="C113" s="97">
        <v>25</v>
      </c>
      <c r="D113" s="90"/>
      <c r="E113" s="95"/>
      <c r="I113" s="76"/>
    </row>
    <row r="114" spans="1:9" s="56" customFormat="1" ht="31.2" x14ac:dyDescent="0.3">
      <c r="A114" s="114" t="s">
        <v>49</v>
      </c>
      <c r="B114" s="115" t="s">
        <v>143</v>
      </c>
      <c r="C114" s="97">
        <v>180</v>
      </c>
      <c r="D114" s="90"/>
      <c r="E114" s="95"/>
      <c r="I114" s="76"/>
    </row>
    <row r="115" spans="1:9" s="56" customFormat="1" x14ac:dyDescent="0.3">
      <c r="A115" s="119" t="s">
        <v>49</v>
      </c>
      <c r="B115" s="115" t="s">
        <v>67</v>
      </c>
      <c r="C115" s="97">
        <v>32</v>
      </c>
      <c r="D115" s="90"/>
      <c r="E115" s="95"/>
      <c r="I115" s="76"/>
    </row>
    <row r="116" spans="1:9" s="56" customFormat="1" x14ac:dyDescent="0.3">
      <c r="A116" s="84" t="s">
        <v>144</v>
      </c>
      <c r="B116" s="85" t="s">
        <v>145</v>
      </c>
      <c r="C116" s="86">
        <f>SUM(C117:C120)</f>
        <v>797</v>
      </c>
      <c r="D116" s="135"/>
      <c r="E116" s="136"/>
      <c r="H116" s="83"/>
      <c r="I116" s="76"/>
    </row>
    <row r="117" spans="1:9" s="56" customFormat="1" x14ac:dyDescent="0.3">
      <c r="A117" s="119" t="s">
        <v>105</v>
      </c>
      <c r="B117" s="115" t="s">
        <v>104</v>
      </c>
      <c r="C117" s="97">
        <v>652</v>
      </c>
      <c r="D117" s="127"/>
      <c r="E117" s="128"/>
      <c r="G117" s="83"/>
      <c r="H117" s="83"/>
      <c r="I117" s="76"/>
    </row>
    <row r="118" spans="1:9" s="56" customFormat="1" x14ac:dyDescent="0.3">
      <c r="A118" s="119" t="s">
        <v>49</v>
      </c>
      <c r="B118" s="115" t="s">
        <v>65</v>
      </c>
      <c r="C118" s="117">
        <f>84</f>
        <v>84</v>
      </c>
      <c r="D118" s="127"/>
      <c r="E118" s="128"/>
      <c r="I118" s="76"/>
    </row>
    <row r="119" spans="1:9" s="56" customFormat="1" x14ac:dyDescent="0.3">
      <c r="A119" s="119" t="s">
        <v>49</v>
      </c>
      <c r="B119" s="115" t="s">
        <v>66</v>
      </c>
      <c r="C119" s="97">
        <v>52</v>
      </c>
      <c r="D119" s="127"/>
      <c r="E119" s="128"/>
      <c r="I119" s="76"/>
    </row>
    <row r="120" spans="1:9" s="56" customFormat="1" x14ac:dyDescent="0.3">
      <c r="A120" s="119" t="s">
        <v>49</v>
      </c>
      <c r="B120" s="115" t="s">
        <v>67</v>
      </c>
      <c r="C120" s="97">
        <v>9</v>
      </c>
      <c r="D120" s="127"/>
      <c r="E120" s="128"/>
      <c r="H120" s="76"/>
      <c r="I120" s="76"/>
    </row>
    <row r="121" spans="1:9" s="56" customFormat="1" x14ac:dyDescent="0.3">
      <c r="A121" s="84">
        <v>9</v>
      </c>
      <c r="B121" s="85" t="s">
        <v>146</v>
      </c>
      <c r="C121" s="86">
        <f>C122</f>
        <v>8117</v>
      </c>
      <c r="D121" s="90"/>
      <c r="E121" s="95"/>
      <c r="I121" s="76"/>
    </row>
    <row r="122" spans="1:9" ht="15" customHeight="1" x14ac:dyDescent="0.3">
      <c r="A122" s="119" t="s">
        <v>49</v>
      </c>
      <c r="B122" s="115" t="s">
        <v>147</v>
      </c>
      <c r="C122" s="118">
        <f>1117+7000</f>
        <v>8117</v>
      </c>
      <c r="D122" s="90"/>
      <c r="E122" s="95"/>
      <c r="H122" s="76"/>
    </row>
    <row r="123" spans="1:9" hidden="1" x14ac:dyDescent="0.3">
      <c r="A123" s="119"/>
      <c r="B123" s="115" t="s">
        <v>148</v>
      </c>
      <c r="C123" s="118">
        <v>957</v>
      </c>
      <c r="D123" s="137"/>
      <c r="E123" s="95"/>
      <c r="H123" s="76"/>
    </row>
    <row r="124" spans="1:9" hidden="1" x14ac:dyDescent="0.3">
      <c r="A124" s="119"/>
      <c r="B124" s="115" t="s">
        <v>149</v>
      </c>
      <c r="C124" s="118">
        <v>160</v>
      </c>
      <c r="D124" s="137"/>
      <c r="E124" s="95"/>
      <c r="H124" s="76"/>
    </row>
    <row r="125" spans="1:9" s="56" customFormat="1" x14ac:dyDescent="0.3">
      <c r="A125" s="84" t="s">
        <v>150</v>
      </c>
      <c r="B125" s="85" t="s">
        <v>151</v>
      </c>
      <c r="C125" s="86">
        <f>1457+629-2.7</f>
        <v>2083.3000000000002</v>
      </c>
      <c r="D125" s="138"/>
      <c r="E125" s="139"/>
      <c r="F125" s="139"/>
      <c r="G125" s="139"/>
      <c r="I125" s="76"/>
    </row>
    <row r="126" spans="1:9" s="56" customFormat="1" x14ac:dyDescent="0.3">
      <c r="A126" s="84" t="s">
        <v>152</v>
      </c>
      <c r="B126" s="85" t="s">
        <v>153</v>
      </c>
      <c r="C126" s="86">
        <f>8+11+35+1132+63+162+1490</f>
        <v>2901</v>
      </c>
      <c r="D126" s="87"/>
      <c r="E126" s="88"/>
      <c r="H126" s="83"/>
      <c r="I126" s="76"/>
    </row>
    <row r="127" spans="1:9" s="56" customFormat="1" x14ac:dyDescent="0.3">
      <c r="A127" s="84" t="s">
        <v>154</v>
      </c>
      <c r="B127" s="85" t="s">
        <v>155</v>
      </c>
      <c r="C127" s="140">
        <v>3852</v>
      </c>
      <c r="D127" s="87"/>
      <c r="E127" s="88"/>
      <c r="I127" s="76"/>
    </row>
    <row r="128" spans="1:9" x14ac:dyDescent="0.3">
      <c r="A128" s="60"/>
      <c r="B128" s="141"/>
      <c r="C128" s="141"/>
      <c r="D128" s="141"/>
      <c r="E128" s="56"/>
    </row>
    <row r="129" spans="2:5" x14ac:dyDescent="0.3">
      <c r="B129" s="367" t="s">
        <v>283</v>
      </c>
      <c r="C129" s="367"/>
      <c r="D129" s="367"/>
      <c r="E129" s="53"/>
    </row>
    <row r="130" spans="2:5" x14ac:dyDescent="0.3">
      <c r="B130" s="54" t="s">
        <v>156</v>
      </c>
    </row>
    <row r="133" spans="2:5" x14ac:dyDescent="0.3">
      <c r="B133" s="142"/>
    </row>
    <row r="134" spans="2:5" x14ac:dyDescent="0.3">
      <c r="B134" s="142"/>
    </row>
    <row r="135" spans="2:5" x14ac:dyDescent="0.3">
      <c r="B135" s="142"/>
    </row>
    <row r="136" spans="2:5" x14ac:dyDescent="0.3">
      <c r="B136" s="142"/>
    </row>
    <row r="137" spans="2:5" x14ac:dyDescent="0.3">
      <c r="B137" s="142"/>
    </row>
    <row r="138" spans="2:5" x14ac:dyDescent="0.3">
      <c r="B138" s="142"/>
    </row>
  </sheetData>
  <mergeCells count="7">
    <mergeCell ref="B129:D129"/>
    <mergeCell ref="A1:B1"/>
    <mergeCell ref="A2:B2"/>
    <mergeCell ref="A4:D4"/>
    <mergeCell ref="A5:D5"/>
    <mergeCell ref="B7:D7"/>
    <mergeCell ref="C1:D1"/>
  </mergeCells>
  <pageMargins left="0.45" right="0.45" top="0.75" bottom="0.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THỰC HIỆN THU 11 THÁNG</vt:lpstr>
      <vt:lpstr>THỰC HIỆN CHI 11 THÁNG</vt:lpstr>
      <vt:lpstr>CÂN ĐỐI</vt:lpstr>
      <vt:lpstr>DỰ TOÁN THU</vt:lpstr>
      <vt:lpstr>DỰ TOÁN CHI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soh240901300@outlook.com</dc:creator>
  <cp:lastModifiedBy>soh240901300@outlook.com</cp:lastModifiedBy>
  <cp:lastPrinted>2026-01-12T09:22:31Z</cp:lastPrinted>
  <dcterms:created xsi:type="dcterms:W3CDTF">2025-12-22T08:29:16Z</dcterms:created>
  <dcterms:modified xsi:type="dcterms:W3CDTF">2026-01-13T08:35:07Z</dcterms:modified>
</cp:coreProperties>
</file>