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C:\Users\User\Desktop\Hồ sơ 2026\Quyết toán 2025\"/>
    </mc:Choice>
  </mc:AlternateContent>
  <xr:revisionPtr revIDLastSave="0" documentId="13_ncr:1_{4C127C22-EC15-43C2-97B2-FC5B8670419D}" xr6:coauthVersionLast="47" xr6:coauthVersionMax="47" xr10:uidLastSave="{00000000-0000-0000-0000-000000000000}"/>
  <bookViews>
    <workbookView xWindow="-108" yWindow="-108" windowWidth="23256" windowHeight="12456" xr2:uid="{00000000-000D-0000-FFFF-FFFF00000000}"/>
  </bookViews>
  <sheets>
    <sheet name="THỰC HIỆN THU 2025" sheetId="7" r:id="rId1"/>
    <sheet name="THỰC HIỆN CHI 2025" sheetId="8" r:id="rId2"/>
    <sheet name="Cân đối" sheetId="14" r:id="rId3"/>
    <sheet name="Nguồn mục tiêu" sheetId="12" r:id="rId4"/>
    <sheet name="Công trình" sheetId="16" r:id="rId5"/>
    <sheet name="Nguồn mục tiêu chi chuyển nguôn" sheetId="10" r:id="rId6"/>
    <sheet name="Sheet1" sheetId="9" r:id="rId7"/>
    <sheet name="Đảng" sheetId="11" r:id="rId8"/>
    <sheet name="Trường" sheetId="13"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2" l="1"/>
  <c r="D9" i="8"/>
  <c r="D12" i="8"/>
  <c r="D24" i="8"/>
  <c r="H36" i="7"/>
  <c r="G36" i="7"/>
  <c r="F92" i="8"/>
  <c r="F91" i="8"/>
  <c r="Q18" i="16" l="1"/>
  <c r="Q17" i="16"/>
  <c r="Q16" i="16"/>
  <c r="Q15" i="16"/>
  <c r="Q14" i="16"/>
  <c r="P38" i="16"/>
  <c r="P36" i="16"/>
  <c r="P35" i="16"/>
  <c r="P26" i="16"/>
  <c r="Q23" i="16"/>
  <c r="O39" i="16"/>
  <c r="P39" i="16"/>
  <c r="Q39" i="16"/>
  <c r="O34" i="16"/>
  <c r="Q34" i="16"/>
  <c r="O29" i="16"/>
  <c r="P29" i="16"/>
  <c r="Q29" i="16"/>
  <c r="O13" i="16"/>
  <c r="P13" i="16"/>
  <c r="Q13" i="16" l="1"/>
  <c r="Q12" i="16" s="1"/>
  <c r="P34" i="16"/>
  <c r="P12" i="16"/>
  <c r="O12" i="16"/>
  <c r="M48" i="16" l="1"/>
  <c r="L48" i="16"/>
  <c r="K48" i="16"/>
  <c r="M47" i="16"/>
  <c r="L47" i="16"/>
  <c r="K47" i="16"/>
  <c r="M46" i="16"/>
  <c r="L46" i="16"/>
  <c r="K46" i="16"/>
  <c r="M45" i="16"/>
  <c r="L45" i="16"/>
  <c r="K45" i="16"/>
  <c r="M44" i="16"/>
  <c r="L44" i="16"/>
  <c r="K44" i="16"/>
  <c r="M43" i="16"/>
  <c r="L43" i="16"/>
  <c r="K43" i="16"/>
  <c r="M42" i="16"/>
  <c r="L42" i="16"/>
  <c r="K42" i="16"/>
  <c r="M41" i="16"/>
  <c r="K41" i="16"/>
  <c r="M40" i="16"/>
  <c r="M39" i="16" s="1"/>
  <c r="L40" i="16"/>
  <c r="K40" i="16"/>
  <c r="N39" i="16"/>
  <c r="J39" i="16"/>
  <c r="I39" i="16"/>
  <c r="H39" i="16"/>
  <c r="G39" i="16"/>
  <c r="F39" i="16"/>
  <c r="E39" i="16"/>
  <c r="D39" i="16"/>
  <c r="C39" i="16"/>
  <c r="L38" i="16"/>
  <c r="M38" i="16" s="1"/>
  <c r="K38" i="16"/>
  <c r="L37" i="16"/>
  <c r="M37" i="16" s="1"/>
  <c r="K37" i="16"/>
  <c r="L36" i="16"/>
  <c r="M36" i="16" s="1"/>
  <c r="K36" i="16"/>
  <c r="L35" i="16"/>
  <c r="M35" i="16" s="1"/>
  <c r="K35" i="16"/>
  <c r="N34" i="16"/>
  <c r="J34" i="16"/>
  <c r="H34" i="16"/>
  <c r="F34" i="16"/>
  <c r="E34" i="16"/>
  <c r="D34" i="16"/>
  <c r="C34" i="16"/>
  <c r="L33" i="16"/>
  <c r="M33" i="16" s="1"/>
  <c r="C33" i="16"/>
  <c r="K33" i="16" s="1"/>
  <c r="L32" i="16"/>
  <c r="M32" i="16" s="1"/>
  <c r="M29" i="16" s="1"/>
  <c r="C32" i="16"/>
  <c r="K32" i="16" s="1"/>
  <c r="L31" i="16"/>
  <c r="K31" i="16"/>
  <c r="D31" i="16"/>
  <c r="D29" i="16" s="1"/>
  <c r="L30" i="16"/>
  <c r="K30" i="16"/>
  <c r="N29" i="16"/>
  <c r="J29" i="16"/>
  <c r="I29" i="16"/>
  <c r="H29" i="16"/>
  <c r="G29" i="16"/>
  <c r="F29" i="16"/>
  <c r="E29" i="16"/>
  <c r="L28" i="16"/>
  <c r="N28" i="16" s="1"/>
  <c r="K28" i="16"/>
  <c r="N27" i="16"/>
  <c r="L27" i="16"/>
  <c r="K27" i="16"/>
  <c r="L26" i="16"/>
  <c r="M26" i="16" s="1"/>
  <c r="K26" i="16"/>
  <c r="N25" i="16"/>
  <c r="L25" i="16"/>
  <c r="K25" i="16"/>
  <c r="L24" i="16"/>
  <c r="M24" i="16" s="1"/>
  <c r="K24" i="16"/>
  <c r="L23" i="16"/>
  <c r="M23" i="16" s="1"/>
  <c r="K23" i="16"/>
  <c r="K22" i="16"/>
  <c r="E22" i="16"/>
  <c r="L22" i="16" s="1"/>
  <c r="M22" i="16" s="1"/>
  <c r="L21" i="16"/>
  <c r="M21" i="16" s="1"/>
  <c r="K21" i="16"/>
  <c r="L20" i="16"/>
  <c r="M20" i="16" s="1"/>
  <c r="K20" i="16"/>
  <c r="L19" i="16"/>
  <c r="M19" i="16" s="1"/>
  <c r="K19" i="16"/>
  <c r="L18" i="16"/>
  <c r="M18" i="16" s="1"/>
  <c r="K18" i="16"/>
  <c r="L17" i="16"/>
  <c r="M17" i="16" s="1"/>
  <c r="K17" i="16"/>
  <c r="K16" i="16"/>
  <c r="E16" i="16"/>
  <c r="L16" i="16" s="1"/>
  <c r="M16" i="16" s="1"/>
  <c r="K15" i="16"/>
  <c r="E15" i="16"/>
  <c r="L15" i="16" s="1"/>
  <c r="M15" i="16" s="1"/>
  <c r="K14" i="16"/>
  <c r="E14" i="16"/>
  <c r="L14" i="16" s="1"/>
  <c r="J13" i="16"/>
  <c r="I13" i="16"/>
  <c r="I12" i="16" s="1"/>
  <c r="H13" i="16"/>
  <c r="G13" i="16"/>
  <c r="F13" i="16"/>
  <c r="D13" i="16"/>
  <c r="C13" i="16"/>
  <c r="D12" i="16" l="1"/>
  <c r="N13" i="16"/>
  <c r="N12" i="16" s="1"/>
  <c r="K29" i="16"/>
  <c r="L39" i="16"/>
  <c r="L29" i="16"/>
  <c r="J12" i="16"/>
  <c r="K39" i="16"/>
  <c r="F12" i="16"/>
  <c r="G12" i="16"/>
  <c r="H12" i="16"/>
  <c r="K34" i="16"/>
  <c r="K13" i="16"/>
  <c r="K12" i="16" s="1"/>
  <c r="M34" i="16"/>
  <c r="M14" i="16"/>
  <c r="M13" i="16" s="1"/>
  <c r="L13" i="16"/>
  <c r="L34" i="16"/>
  <c r="C29" i="16"/>
  <c r="C12" i="16" s="1"/>
  <c r="E13" i="16"/>
  <c r="E12" i="16" s="1"/>
  <c r="M12" i="16" l="1"/>
  <c r="L12" i="16"/>
  <c r="B15" i="14" l="1"/>
  <c r="B14" i="14"/>
  <c r="B13" i="14"/>
  <c r="B9" i="14"/>
  <c r="J13" i="7" l="1"/>
  <c r="J14" i="7"/>
  <c r="J15" i="7"/>
  <c r="J16" i="7"/>
  <c r="J18" i="7"/>
  <c r="J19" i="7"/>
  <c r="J20" i="7"/>
  <c r="J21" i="7"/>
  <c r="J22" i="7"/>
  <c r="J23" i="7"/>
  <c r="J25" i="7"/>
  <c r="J26" i="7"/>
  <c r="J27" i="7"/>
  <c r="J28" i="7"/>
  <c r="J29" i="7"/>
  <c r="J30" i="7"/>
  <c r="J34" i="7"/>
  <c r="J35" i="7"/>
  <c r="J37" i="7"/>
  <c r="J39" i="7"/>
  <c r="J11" i="7"/>
  <c r="J12" i="7"/>
  <c r="I11" i="7"/>
  <c r="I12" i="7"/>
  <c r="I13" i="7"/>
  <c r="I14" i="7"/>
  <c r="I15" i="7"/>
  <c r="I16" i="7"/>
  <c r="I18" i="7"/>
  <c r="I19" i="7"/>
  <c r="I20" i="7"/>
  <c r="I21" i="7"/>
  <c r="I22" i="7"/>
  <c r="I23" i="7"/>
  <c r="I25" i="7"/>
  <c r="I26" i="7"/>
  <c r="I27" i="7"/>
  <c r="I28" i="7"/>
  <c r="I29" i="7"/>
  <c r="I30" i="7"/>
  <c r="I34" i="7"/>
  <c r="I35" i="7"/>
  <c r="I37" i="7"/>
  <c r="I39" i="7"/>
  <c r="F130" i="8" l="1"/>
  <c r="E110" i="8"/>
  <c r="C110" i="8"/>
  <c r="F45" i="8"/>
  <c r="C28" i="13" l="1"/>
  <c r="E9" i="9" l="1"/>
  <c r="D28" i="8"/>
  <c r="D41" i="8"/>
  <c r="D61" i="12"/>
  <c r="D126" i="8"/>
  <c r="E28" i="12"/>
  <c r="D49" i="8" l="1"/>
  <c r="E49" i="12" l="1"/>
  <c r="E47" i="12" s="1"/>
  <c r="E46" i="12" s="1"/>
  <c r="E45" i="12" s="1"/>
  <c r="F14" i="12" l="1"/>
  <c r="E18" i="12" l="1"/>
  <c r="F47" i="8"/>
  <c r="F20" i="8" l="1"/>
  <c r="D130" i="8" l="1"/>
  <c r="D11" i="14" s="1"/>
  <c r="C14" i="13"/>
  <c r="P17" i="9"/>
  <c r="F124" i="8" l="1"/>
  <c r="I3" i="13"/>
  <c r="I4" i="13"/>
  <c r="I5" i="13"/>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2" i="13"/>
  <c r="F85" i="8"/>
  <c r="F11" i="12"/>
  <c r="F12" i="12"/>
  <c r="F13" i="12"/>
  <c r="F15" i="12"/>
  <c r="F16" i="12"/>
  <c r="F17" i="12"/>
  <c r="F19" i="12"/>
  <c r="F20" i="12"/>
  <c r="F21" i="12"/>
  <c r="F22" i="12"/>
  <c r="F23" i="12"/>
  <c r="F24" i="12"/>
  <c r="F25" i="12"/>
  <c r="F26" i="12"/>
  <c r="F27" i="12"/>
  <c r="F31" i="12"/>
  <c r="F32" i="12"/>
  <c r="F33" i="12"/>
  <c r="F35" i="12"/>
  <c r="F36" i="12"/>
  <c r="F37" i="12"/>
  <c r="F38" i="12"/>
  <c r="F39" i="12"/>
  <c r="F40" i="12"/>
  <c r="F41" i="12"/>
  <c r="F42" i="12"/>
  <c r="F43" i="12"/>
  <c r="F44" i="12"/>
  <c r="F48" i="12"/>
  <c r="F49" i="12"/>
  <c r="F50" i="12"/>
  <c r="F52" i="12"/>
  <c r="F53" i="12"/>
  <c r="F54" i="12"/>
  <c r="F55" i="12"/>
  <c r="F61" i="12"/>
  <c r="F62" i="12"/>
  <c r="F63" i="12"/>
  <c r="F64" i="12"/>
  <c r="F65" i="12"/>
  <c r="F10" i="12"/>
  <c r="D72" i="12"/>
  <c r="F72" i="12" s="1"/>
  <c r="D71" i="12"/>
  <c r="F71" i="12" s="1"/>
  <c r="D70" i="12"/>
  <c r="F70" i="12" s="1"/>
  <c r="C69" i="12"/>
  <c r="D68" i="12"/>
  <c r="F68" i="12" s="1"/>
  <c r="C67" i="12"/>
  <c r="D67" i="12" s="1"/>
  <c r="D60" i="12"/>
  <c r="C60" i="12"/>
  <c r="C59" i="12"/>
  <c r="F59" i="12" s="1"/>
  <c r="C58" i="12"/>
  <c r="F58" i="12" s="1"/>
  <c r="D57" i="12"/>
  <c r="D51" i="12"/>
  <c r="C51" i="12"/>
  <c r="F51" i="12" s="1"/>
  <c r="D47" i="12"/>
  <c r="D46" i="12" s="1"/>
  <c r="C47" i="12"/>
  <c r="C46" i="12" s="1"/>
  <c r="F46" i="12" s="1"/>
  <c r="D34" i="12"/>
  <c r="F34" i="12" s="1"/>
  <c r="C9" i="12"/>
  <c r="J35" i="13" l="1"/>
  <c r="J30" i="13"/>
  <c r="I40" i="13"/>
  <c r="F60" i="12"/>
  <c r="F47" i="12"/>
  <c r="C57" i="12"/>
  <c r="F67" i="12"/>
  <c r="F28" i="12"/>
  <c r="E9" i="12"/>
  <c r="D9" i="12"/>
  <c r="D56" i="12"/>
  <c r="C66" i="12"/>
  <c r="D69" i="12"/>
  <c r="F69" i="12" s="1"/>
  <c r="F57" i="12" l="1"/>
  <c r="C56" i="12"/>
  <c r="C45" i="12" s="1"/>
  <c r="D45" i="12"/>
  <c r="F9" i="12"/>
  <c r="D66" i="12"/>
  <c r="F66" i="12" s="1"/>
  <c r="F56" i="12" l="1"/>
  <c r="F45" i="12" s="1"/>
  <c r="F104" i="8"/>
  <c r="C16" i="11"/>
  <c r="D16" i="11"/>
  <c r="E16" i="11"/>
  <c r="B16" i="11"/>
  <c r="F16" i="11" s="1"/>
  <c r="D122" i="8" l="1"/>
  <c r="D123" i="8"/>
  <c r="D124" i="8"/>
  <c r="D125" i="8"/>
  <c r="D127" i="8"/>
  <c r="D128" i="8"/>
  <c r="D129" i="8"/>
  <c r="F14" i="8"/>
  <c r="D115" i="8" l="1"/>
  <c r="B91" i="9" l="1"/>
  <c r="R91" i="9"/>
  <c r="S91" i="9"/>
  <c r="T91" i="9"/>
  <c r="C91" i="9"/>
  <c r="D91" i="9"/>
  <c r="E91" i="9"/>
  <c r="F91" i="9"/>
  <c r="G91" i="9"/>
  <c r="H91" i="9"/>
  <c r="H93" i="9" s="1"/>
  <c r="I91" i="9"/>
  <c r="J91" i="9"/>
  <c r="K91" i="9"/>
  <c r="L91" i="9"/>
  <c r="M91" i="9"/>
  <c r="N91" i="9"/>
  <c r="O91" i="9"/>
  <c r="P91" i="9"/>
  <c r="A91" i="9"/>
  <c r="H28" i="7"/>
  <c r="G28" i="7"/>
  <c r="E36" i="7"/>
  <c r="C36" i="7"/>
  <c r="H39" i="7"/>
  <c r="F38" i="7"/>
  <c r="F39" i="7"/>
  <c r="F37" i="7"/>
  <c r="F36" i="7" s="1"/>
  <c r="D38" i="7"/>
  <c r="D39" i="7"/>
  <c r="D37" i="7"/>
  <c r="D36" i="7" s="1"/>
  <c r="H37" i="7"/>
  <c r="H38" i="7"/>
  <c r="B12" i="14" l="1"/>
  <c r="B11" i="14" s="1"/>
  <c r="I38" i="7"/>
  <c r="J38" i="7"/>
  <c r="F93" i="9"/>
  <c r="U91" i="9"/>
  <c r="U95" i="9" s="1"/>
  <c r="D121" i="8"/>
  <c r="D117" i="8"/>
  <c r="G117" i="8" s="1"/>
  <c r="F116" i="8"/>
  <c r="D116" i="8" s="1"/>
  <c r="G116" i="8" s="1"/>
  <c r="G115" i="8"/>
  <c r="D114" i="8"/>
  <c r="G114" i="8" s="1"/>
  <c r="F113" i="8"/>
  <c r="D112" i="8"/>
  <c r="G112" i="8" s="1"/>
  <c r="D111" i="8"/>
  <c r="G109" i="8"/>
  <c r="G108" i="8"/>
  <c r="F107" i="8"/>
  <c r="D107" i="8" s="1"/>
  <c r="G107" i="8" s="1"/>
  <c r="G106" i="8"/>
  <c r="G105" i="8"/>
  <c r="D104" i="8"/>
  <c r="G104" i="8" s="1"/>
  <c r="F103" i="8"/>
  <c r="D103" i="8" s="1"/>
  <c r="G103" i="8" s="1"/>
  <c r="D102" i="8"/>
  <c r="G102" i="8" s="1"/>
  <c r="D94" i="8"/>
  <c r="G94" i="8" s="1"/>
  <c r="D92" i="8"/>
  <c r="G92" i="8" s="1"/>
  <c r="D91" i="8"/>
  <c r="G91" i="8" s="1"/>
  <c r="D86" i="8"/>
  <c r="C86" i="8"/>
  <c r="C85" i="8" s="1"/>
  <c r="E85" i="8"/>
  <c r="D84" i="8"/>
  <c r="G84" i="8" s="1"/>
  <c r="D83" i="8"/>
  <c r="G83" i="8" s="1"/>
  <c r="D82" i="8"/>
  <c r="G82" i="8" s="1"/>
  <c r="D81" i="8"/>
  <c r="G81" i="8" s="1"/>
  <c r="D80" i="8"/>
  <c r="G80" i="8" s="1"/>
  <c r="D79" i="8"/>
  <c r="G79" i="8" s="1"/>
  <c r="D78" i="8"/>
  <c r="G78" i="8" s="1"/>
  <c r="D77" i="8"/>
  <c r="G77" i="8" s="1"/>
  <c r="D76" i="8"/>
  <c r="G76" i="8" s="1"/>
  <c r="D75" i="8"/>
  <c r="D74" i="8"/>
  <c r="G74" i="8" s="1"/>
  <c r="F73" i="8"/>
  <c r="E73" i="8"/>
  <c r="C73" i="8"/>
  <c r="F72" i="8"/>
  <c r="D72" i="8" s="1"/>
  <c r="G72" i="8" s="1"/>
  <c r="D71" i="8"/>
  <c r="G71" i="8" s="1"/>
  <c r="F70" i="8"/>
  <c r="D70" i="8" s="1"/>
  <c r="G70" i="8" s="1"/>
  <c r="F69" i="8"/>
  <c r="D69" i="8" s="1"/>
  <c r="G69" i="8" s="1"/>
  <c r="D68" i="8"/>
  <c r="G68" i="8" s="1"/>
  <c r="D67" i="8"/>
  <c r="G67" i="8" s="1"/>
  <c r="D66" i="8"/>
  <c r="G66" i="8" s="1"/>
  <c r="F65" i="8"/>
  <c r="D65" i="8" s="1"/>
  <c r="G65" i="8" s="1"/>
  <c r="D64" i="8"/>
  <c r="G64" i="8" s="1"/>
  <c r="F63" i="8"/>
  <c r="D63" i="8" s="1"/>
  <c r="D62" i="8"/>
  <c r="G62" i="8" s="1"/>
  <c r="D61" i="8"/>
  <c r="G61" i="8" s="1"/>
  <c r="E60" i="8"/>
  <c r="C60" i="8"/>
  <c r="F59" i="8"/>
  <c r="D59" i="8" s="1"/>
  <c r="G59" i="8" s="1"/>
  <c r="C58" i="8"/>
  <c r="D58" i="8" s="1"/>
  <c r="G58" i="8" s="1"/>
  <c r="D57" i="8"/>
  <c r="G57" i="8" s="1"/>
  <c r="D56" i="8"/>
  <c r="G56" i="8" s="1"/>
  <c r="D55" i="8"/>
  <c r="G55" i="8" s="1"/>
  <c r="F54" i="8"/>
  <c r="D54" i="8" s="1"/>
  <c r="G54" i="8" s="1"/>
  <c r="D53" i="8"/>
  <c r="G53" i="8" s="1"/>
  <c r="D52" i="8"/>
  <c r="G52" i="8" s="1"/>
  <c r="F51" i="8"/>
  <c r="D51" i="8" s="1"/>
  <c r="G51" i="8" s="1"/>
  <c r="F50" i="8"/>
  <c r="D50" i="8" s="1"/>
  <c r="G50" i="8" s="1"/>
  <c r="G49" i="8"/>
  <c r="F48" i="8"/>
  <c r="D48" i="8" s="1"/>
  <c r="G48" i="8" s="1"/>
  <c r="D47" i="8"/>
  <c r="G47" i="8" s="1"/>
  <c r="D46" i="8"/>
  <c r="G46" i="8" s="1"/>
  <c r="D45" i="8"/>
  <c r="D44" i="8"/>
  <c r="E43" i="8"/>
  <c r="F40" i="8"/>
  <c r="E40" i="8"/>
  <c r="C40" i="8"/>
  <c r="F39" i="8"/>
  <c r="D39" i="8" s="1"/>
  <c r="G39" i="8" s="1"/>
  <c r="E37" i="8"/>
  <c r="C37" i="8"/>
  <c r="D36" i="8"/>
  <c r="G36" i="8" s="1"/>
  <c r="F35" i="8"/>
  <c r="D35" i="8" s="1"/>
  <c r="G35" i="8" s="1"/>
  <c r="D34" i="8"/>
  <c r="G34" i="8" s="1"/>
  <c r="D33" i="8"/>
  <c r="G33" i="8" s="1"/>
  <c r="F32" i="8"/>
  <c r="D31" i="8"/>
  <c r="G31" i="8" s="1"/>
  <c r="D30" i="8"/>
  <c r="E29" i="8"/>
  <c r="C29" i="8"/>
  <c r="G28" i="8"/>
  <c r="D27" i="8"/>
  <c r="G27" i="8" s="1"/>
  <c r="D26" i="8"/>
  <c r="G26" i="8" s="1"/>
  <c r="D25" i="8"/>
  <c r="E24" i="8"/>
  <c r="C24" i="8"/>
  <c r="F22" i="8"/>
  <c r="E22" i="8"/>
  <c r="C22" i="8"/>
  <c r="F21" i="8"/>
  <c r="D21" i="8" s="1"/>
  <c r="G21" i="8" s="1"/>
  <c r="D20" i="8"/>
  <c r="G20" i="8" s="1"/>
  <c r="D19" i="8"/>
  <c r="E18" i="8"/>
  <c r="C18" i="8"/>
  <c r="C17" i="8"/>
  <c r="F17" i="8" s="1"/>
  <c r="D17" i="8" s="1"/>
  <c r="G17" i="8" s="1"/>
  <c r="C16" i="8"/>
  <c r="E15" i="8"/>
  <c r="E13" i="8" s="1"/>
  <c r="D14" i="8"/>
  <c r="D11" i="8"/>
  <c r="C11" i="8"/>
  <c r="C10" i="8" s="1"/>
  <c r="F10" i="8"/>
  <c r="E10" i="8"/>
  <c r="H27" i="7"/>
  <c r="H26" i="7" s="1"/>
  <c r="G27" i="7"/>
  <c r="G26" i="7" s="1"/>
  <c r="F27" i="7"/>
  <c r="F26" i="7" s="1"/>
  <c r="E27" i="7"/>
  <c r="E26" i="7" s="1"/>
  <c r="D27" i="7"/>
  <c r="D26" i="7" s="1"/>
  <c r="C27" i="7"/>
  <c r="C26" i="7" s="1"/>
  <c r="H22" i="7"/>
  <c r="G22" i="7"/>
  <c r="F22" i="7"/>
  <c r="E22" i="7"/>
  <c r="D22" i="7"/>
  <c r="C22" i="7"/>
  <c r="F20" i="7"/>
  <c r="H16" i="7"/>
  <c r="G16" i="7"/>
  <c r="G15" i="7" s="1"/>
  <c r="F16" i="7"/>
  <c r="F15" i="7" s="1"/>
  <c r="E16" i="7"/>
  <c r="E15" i="7" s="1"/>
  <c r="D16" i="7"/>
  <c r="D15" i="7" s="1"/>
  <c r="C16" i="7"/>
  <c r="C15" i="7" s="1"/>
  <c r="H12" i="7"/>
  <c r="G12" i="7"/>
  <c r="F12" i="7"/>
  <c r="E12" i="7"/>
  <c r="D12" i="7"/>
  <c r="C12" i="7"/>
  <c r="J36" i="7" l="1"/>
  <c r="I36" i="7"/>
  <c r="G111" i="8"/>
  <c r="F110" i="8"/>
  <c r="G45" i="8"/>
  <c r="F11" i="7"/>
  <c r="F10" i="7" s="1"/>
  <c r="D38" i="8"/>
  <c r="G38" i="8" s="1"/>
  <c r="F16" i="8"/>
  <c r="D16" i="8" s="1"/>
  <c r="G41" i="8"/>
  <c r="G75" i="8"/>
  <c r="G121" i="8"/>
  <c r="F37" i="8"/>
  <c r="D23" i="8"/>
  <c r="C15" i="8"/>
  <c r="G86" i="8"/>
  <c r="D40" i="8"/>
  <c r="G40" i="8" s="1"/>
  <c r="F24" i="8"/>
  <c r="E42" i="8"/>
  <c r="E12" i="8" s="1"/>
  <c r="E9" i="8" s="1"/>
  <c r="G11" i="8"/>
  <c r="D113" i="8"/>
  <c r="G113" i="8" s="1"/>
  <c r="F60" i="8"/>
  <c r="F29" i="8"/>
  <c r="D10" i="8"/>
  <c r="D9" i="14" s="1"/>
  <c r="F43" i="8"/>
  <c r="E11" i="7"/>
  <c r="E10" i="7" s="1"/>
  <c r="H15" i="7"/>
  <c r="H11" i="7" s="1"/>
  <c r="H10" i="7" s="1"/>
  <c r="G25" i="8"/>
  <c r="D18" i="8"/>
  <c r="G18" i="8" s="1"/>
  <c r="G19" i="8"/>
  <c r="D60" i="8"/>
  <c r="G60" i="8" s="1"/>
  <c r="G44" i="8"/>
  <c r="D43" i="8"/>
  <c r="G30" i="8"/>
  <c r="D73" i="8"/>
  <c r="G73" i="8" s="1"/>
  <c r="D85" i="8"/>
  <c r="G85" i="8" s="1"/>
  <c r="G14" i="8"/>
  <c r="D32" i="8"/>
  <c r="G32" i="8" s="1"/>
  <c r="C43" i="8"/>
  <c r="C42" i="8" s="1"/>
  <c r="G63" i="8"/>
  <c r="F18" i="8"/>
  <c r="D11" i="7"/>
  <c r="D10" i="7" s="1"/>
  <c r="G11" i="7"/>
  <c r="G10" i="7" s="1"/>
  <c r="C11" i="7"/>
  <c r="C10" i="7" s="1"/>
  <c r="B8" i="14" l="1"/>
  <c r="J10" i="7"/>
  <c r="I10" i="7"/>
  <c r="D110" i="8"/>
  <c r="G110" i="8" s="1"/>
  <c r="G10" i="8"/>
  <c r="D37" i="8"/>
  <c r="G37" i="8" s="1"/>
  <c r="G24" i="8"/>
  <c r="D22" i="8"/>
  <c r="G22" i="8" s="1"/>
  <c r="G23" i="8"/>
  <c r="F15" i="8"/>
  <c r="F13" i="8" s="1"/>
  <c r="G16" i="8"/>
  <c r="D15" i="8"/>
  <c r="D13" i="8" s="1"/>
  <c r="C13" i="8"/>
  <c r="C12" i="8" s="1"/>
  <c r="C9" i="8" s="1"/>
  <c r="D29" i="8"/>
  <c r="G29" i="8" s="1"/>
  <c r="F42" i="8"/>
  <c r="G43" i="8"/>
  <c r="D42" i="8"/>
  <c r="G42" i="8" s="1"/>
  <c r="G15" i="8" l="1"/>
  <c r="F12" i="8"/>
  <c r="F9" i="8" s="1"/>
  <c r="G13" i="8"/>
  <c r="D8" i="14" l="1"/>
  <c r="G12" i="8"/>
  <c r="B16" i="14" l="1"/>
  <c r="D10" i="14"/>
  <c r="G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00000000-0006-0000-0100-000001000000}">
      <text>
        <r>
          <rPr>
            <b/>
            <sz val="9"/>
            <color indexed="81"/>
            <rFont val="Tahoma"/>
            <family val="2"/>
          </rPr>
          <t xml:space="preserve">Thị trấn: 37,5
</t>
        </r>
      </text>
    </comment>
    <comment ref="E28" authorId="0" shapeId="0" xr:uid="{00000000-0006-0000-0100-000002000000}">
      <text>
        <r>
          <rPr>
            <b/>
            <sz val="9"/>
            <color indexed="81"/>
            <rFont val="Tahoma"/>
            <family val="2"/>
          </rPr>
          <t xml:space="preserve">Thạch Long: 3,6 triệu
</t>
        </r>
      </text>
    </comment>
    <comment ref="E69" authorId="0" shapeId="0" xr:uid="{00000000-0006-0000-0100-000003000000}">
      <text>
        <r>
          <rPr>
            <b/>
            <sz val="9"/>
            <color indexed="81"/>
            <rFont val="Tahoma"/>
            <family val="2"/>
          </rPr>
          <t xml:space="preserve">Thạch Long: đã chi 30,096
</t>
        </r>
      </text>
    </comment>
    <comment ref="E70" authorId="0" shapeId="0" xr:uid="{00000000-0006-0000-0100-000004000000}">
      <text>
        <r>
          <rPr>
            <b/>
            <sz val="9"/>
            <color indexed="81"/>
            <rFont val="Tahoma"/>
            <family val="2"/>
          </rPr>
          <t xml:space="preserve">Thạch Long: 25,8
</t>
        </r>
      </text>
    </comment>
  </commentList>
</comments>
</file>

<file path=xl/sharedStrings.xml><?xml version="1.0" encoding="utf-8"?>
<sst xmlns="http://schemas.openxmlformats.org/spreadsheetml/2006/main" count="522" uniqueCount="377">
  <si>
    <t>ỦY BAN NHÂN DÂN</t>
  </si>
  <si>
    <t>TT</t>
  </si>
  <si>
    <t>Nội dung</t>
  </si>
  <si>
    <t>NSNN</t>
  </si>
  <si>
    <t>Tổng cộng</t>
  </si>
  <si>
    <t>I</t>
  </si>
  <si>
    <t>Thu NSNN trên địa bàn</t>
  </si>
  <si>
    <t>Thu tại xã. Trong đó:</t>
  </si>
  <si>
    <t>Thu tại xã</t>
  </si>
  <si>
    <t xml:space="preserve">Thu hoa lợi </t>
  </si>
  <si>
    <t>2.1</t>
  </si>
  <si>
    <t>Doanh nghiệp, hợp tác xã</t>
  </si>
  <si>
    <t>Cá nhân, hộ kinh doanh</t>
  </si>
  <si>
    <t>2.2</t>
  </si>
  <si>
    <t>Lệ phí trước bạ</t>
  </si>
  <si>
    <t>Trước bạ nhà, đất</t>
  </si>
  <si>
    <t>Trước bạ các tài sản khác</t>
  </si>
  <si>
    <t>7.1</t>
  </si>
  <si>
    <t>Thuế VAT - TNDN</t>
  </si>
  <si>
    <t>Hộ cá thể</t>
  </si>
  <si>
    <t xml:space="preserve">IV </t>
  </si>
  <si>
    <t>Thu bổ sung từ NS cấp trên</t>
  </si>
  <si>
    <t>Thu bổ sung cân đối</t>
  </si>
  <si>
    <t xml:space="preserve">Thu bổ sung có mục tiêu cấp xã </t>
  </si>
  <si>
    <t xml:space="preserve">  ỦY BAN NHÂN DÂN</t>
  </si>
  <si>
    <t xml:space="preserve">XÃ THẠCH HÀ </t>
  </si>
  <si>
    <t>Đơn vị tính: Triệu đồng</t>
  </si>
  <si>
    <t>Chi đầu tư phát triển</t>
  </si>
  <si>
    <t>Chi đầu tư xây dựng cơ bản</t>
  </si>
  <si>
    <t>II</t>
  </si>
  <si>
    <t>Chi thường xuyên</t>
  </si>
  <si>
    <t>Chi an ninh - Quốc phòng</t>
  </si>
  <si>
    <t>-</t>
  </si>
  <si>
    <t>An ninh</t>
  </si>
  <si>
    <t>Quốc phòng</t>
  </si>
  <si>
    <t xml:space="preserve">Sự nghiệp GD-ĐT và trung tâm chính trị xã </t>
  </si>
  <si>
    <t>Sự nghiệp giáo dục, đào tạo</t>
  </si>
  <si>
    <t>Trung tâm chính trị xã</t>
  </si>
  <si>
    <t>Chi hoạt động theo định mức</t>
  </si>
  <si>
    <t>Khen thưởng theo NĐ 73</t>
  </si>
  <si>
    <t xml:space="preserve">Chi sự nghiệp y tế </t>
  </si>
  <si>
    <t>Sự nghiệp Văn hóa thông tin, phát thanh truyền hình, thể dục thể thao</t>
  </si>
  <si>
    <t>Phân bổ theo định mức</t>
  </si>
  <si>
    <t>Kinh phí bảo vệ di tích</t>
  </si>
  <si>
    <t>Chi đảm bảo xã hội</t>
  </si>
  <si>
    <t>Chi khác đảm bảo xã hội</t>
  </si>
  <si>
    <t>Sự nghiệp kinh tế</t>
  </si>
  <si>
    <t xml:space="preserve">Chi sự nghiệp kinh tế </t>
  </si>
  <si>
    <t>Sự nghiệp môi trường</t>
  </si>
  <si>
    <t xml:space="preserve">Chi sự nghiệp môi trường </t>
  </si>
  <si>
    <t>Quản lý nhà nước, Đảng, Đoàn thể</t>
  </si>
  <si>
    <t>8.1</t>
  </si>
  <si>
    <t>Quản lý nhà nước</t>
  </si>
  <si>
    <t>Lương và các khoản phụ cấp</t>
  </si>
  <si>
    <t xml:space="preserve"> - </t>
  </si>
  <si>
    <t>Phụ cấp tổ an ninh trật tự</t>
  </si>
  <si>
    <t>Phụ cấp y tá thôn</t>
  </si>
  <si>
    <t xml:space="preserve">Trung tâm giáo dục cộng đồng </t>
  </si>
  <si>
    <t>Phụ cấp thôn đội trưởng</t>
  </si>
  <si>
    <t>Phụ cấp ĐBHĐ</t>
  </si>
  <si>
    <t>Phụ cấp trưởng ban công tác mặt trận</t>
  </si>
  <si>
    <t xml:space="preserve">Phụ cấp cấp ủy </t>
  </si>
  <si>
    <t>Phụ cấp chi hội trưởng nông dân</t>
  </si>
  <si>
    <t>Phụ cấp Bí thư chi đoàn</t>
  </si>
  <si>
    <t>Phụ cấp chi hội trưởng CCB</t>
  </si>
  <si>
    <t>Phụ cấp chi hội trưởng cao tuổi</t>
  </si>
  <si>
    <t>Chi tuyên truyền phổ biến GDPL</t>
  </si>
  <si>
    <t>Chi công tác tiếp dân, khiếu nại đơn thư tố cáo</t>
  </si>
  <si>
    <t>8.2</t>
  </si>
  <si>
    <t xml:space="preserve">Đảng </t>
  </si>
  <si>
    <t>Kinh phí khen thưởng theo NĐ 73</t>
  </si>
  <si>
    <t>Phụ cấp Ban chấp hành Đảng ủy</t>
  </si>
  <si>
    <t>KP tặng thưởng kèm theo Huy hiệu Đảng
(bao gồm tiền khung, thiếp 25.000 đồng/HHĐ)</t>
  </si>
  <si>
    <t>8.3</t>
  </si>
  <si>
    <t>MTTQ  Đoàn thể</t>
  </si>
  <si>
    <t>Chi khác ngân sách</t>
  </si>
  <si>
    <t>Chi khác ngân sách xã, thị trấn</t>
  </si>
  <si>
    <t xml:space="preserve">III </t>
  </si>
  <si>
    <t>Chi tiết kiệm 10% theo Nghị quyết số 173/2025/NQ-CP</t>
  </si>
  <si>
    <t>VII</t>
  </si>
  <si>
    <t xml:space="preserve">Chi cải cách tiền lương theo quy định </t>
  </si>
  <si>
    <t>VIII</t>
  </si>
  <si>
    <t>Dự phòng</t>
  </si>
  <si>
    <t>III</t>
  </si>
  <si>
    <t>V</t>
  </si>
  <si>
    <t>VI</t>
  </si>
  <si>
    <t xml:space="preserve">Dự toán tỉnh giao </t>
  </si>
  <si>
    <t xml:space="preserve">Dự toán HĐND xã giao </t>
  </si>
  <si>
    <t xml:space="preserve">Đạt tỷ lệ so với dự toán tỉnh giao </t>
  </si>
  <si>
    <t xml:space="preserve">Đạt tỷ lệ so với dự toán HĐND xã giao </t>
  </si>
  <si>
    <t xml:space="preserve">Xã hưởng </t>
  </si>
  <si>
    <t>(1)</t>
  </si>
  <si>
    <t>(2)</t>
  </si>
  <si>
    <t>(3)</t>
  </si>
  <si>
    <t>(4)</t>
  </si>
  <si>
    <t>(5)</t>
  </si>
  <si>
    <t>(6)</t>
  </si>
  <si>
    <t>(7)</t>
  </si>
  <si>
    <t>(8)</t>
  </si>
  <si>
    <t>Thu phí, lệ phí. Trong đó:</t>
  </si>
  <si>
    <t>Lệ phí môn bài</t>
  </si>
  <si>
    <t xml:space="preserve">Phí, lệ phí (còn lại) </t>
  </si>
  <si>
    <t>Tiền sử dụng đất</t>
  </si>
  <si>
    <t>Tiền thuê mặt đất, mặt nước</t>
  </si>
  <si>
    <t>Thuế phi nông nghiệp</t>
  </si>
  <si>
    <t>Thu từ khu vực ngoài quốc doanh</t>
  </si>
  <si>
    <t>7.2</t>
  </si>
  <si>
    <t xml:space="preserve">Thuế tiêu thụ đặc biệt </t>
  </si>
  <si>
    <t>7.3</t>
  </si>
  <si>
    <t xml:space="preserve">Thuế Tài nguyên </t>
  </si>
  <si>
    <t xml:space="preserve">Thuế thu nhập cá nhân </t>
  </si>
  <si>
    <t xml:space="preserve">Thu đóng góp CSHT  </t>
  </si>
  <si>
    <t>Thu chuyển nguồn năm trước</t>
  </si>
  <si>
    <t xml:space="preserve">Thu kết dư ngân sách </t>
  </si>
  <si>
    <t xml:space="preserve">ỦY BAN NHÂN DÂN XÃ </t>
  </si>
  <si>
    <t>Dự toán HĐND xã giao</t>
  </si>
  <si>
    <t>Thực hiện</t>
  </si>
  <si>
    <t xml:space="preserve">Trong đó
</t>
  </si>
  <si>
    <t xml:space="preserve">Tỷ lệ (%) </t>
  </si>
  <si>
    <t>6 tháng đầu năm</t>
  </si>
  <si>
    <t>Kinh phí thực hiện nhiệm vụ quốc phòng theo định mức</t>
  </si>
  <si>
    <t>Bổ sung kinh phí thực hiện Luật dân quân tự vệ, Nghị định số 72/2020/NĐ-CP ngày 30/6/2020 của Chính phủ</t>
  </si>
  <si>
    <t xml:space="preserve">Bảo hiểm y tế 6 tháng cuối năm 2025 đối tượng BTXH </t>
  </si>
  <si>
    <t xml:space="preserve">Đại hội TDTT </t>
  </si>
  <si>
    <t>Kinh phí cụm dân cư</t>
  </si>
  <si>
    <t>Chế độ trợ cấp hằng tháng cán bộ xã, thị trấn đã nghỉ việc</t>
  </si>
  <si>
    <t xml:space="preserve">Hỗ trợ người được phân công giúp đỡ </t>
  </si>
  <si>
    <t>Kinh phí chúc thọ mừng thọ</t>
  </si>
  <si>
    <t>Mai táng phí</t>
  </si>
  <si>
    <t xml:space="preserve">Trợ giúp xã hội các tối tượng 6 tháng cuối năm </t>
  </si>
  <si>
    <t xml:space="preserve">Tiền điện hộ nghèo 6 tháng cuối năm </t>
  </si>
  <si>
    <t>Kiến thiết thị chính</t>
  </si>
  <si>
    <t>Phụ cấp tổ trưởng tổ dân phố</t>
  </si>
  <si>
    <t>Phụ cấp tổ chuyển đổi số cộng đồng</t>
  </si>
  <si>
    <t xml:space="preserve">Phụ cấp bán chuyên trách và hội đặc thù </t>
  </si>
  <si>
    <t>Chi hoạt động của ĐBHĐ</t>
  </si>
  <si>
    <t xml:space="preserve">Chi Khoa học - Công nghệ </t>
  </si>
  <si>
    <t>Chi hội nghị điển hình tiên tiến</t>
  </si>
  <si>
    <t xml:space="preserve">Chi khác </t>
  </si>
  <si>
    <t>Chi đại hội Đảng bộ nhiệm kỳ 2025-2030</t>
  </si>
  <si>
    <t>Phụ cấp Bí thư chi bộ</t>
  </si>
  <si>
    <t>Phụ cấp tôn giáo</t>
  </si>
  <si>
    <t>Chi hoạt động tôn giáo</t>
  </si>
  <si>
    <t>Phụ cấp chi hội trưởng phụ nữ</t>
  </si>
  <si>
    <t>Chi hoạt động ban Thanh tra nhân dân, Giám sát cộng đồng</t>
  </si>
  <si>
    <t>Chi Đại hội MTTQ</t>
  </si>
  <si>
    <t xml:space="preserve">Chi Đại hội các tổ chức đoàn thể </t>
  </si>
  <si>
    <t>Bổ sung kinh phí cho VP Đảng ủy</t>
  </si>
  <si>
    <t>Bổ sung KP cho UBMTTQ</t>
  </si>
  <si>
    <t>Bổ sung KP cho các trường</t>
  </si>
  <si>
    <t xml:space="preserve">Kinh phí thực hiện 6 tháng đầu năm của các đơn vị dự toán cấp huyện đã kết thúc hoạt động </t>
  </si>
  <si>
    <t xml:space="preserve">Chi bổ sung có mục tiêu ngân sách cấp trên </t>
  </si>
  <si>
    <t>Kinh phí môi trường 6 tháng cuối năm 2025</t>
  </si>
  <si>
    <t>Kinh phí kiến thiết thị chính</t>
  </si>
  <si>
    <t>Kinh phí cho các địa phương tổ chức vận hành xã mới</t>
  </si>
  <si>
    <t>Hỗ trợ sử dụng sản phẩm, dịch vụ công ích thủy lợi năm 2025 cho các xã, thị trấn</t>
  </si>
  <si>
    <t>Chuyển nguồn năm 2024 sang năm 2025</t>
  </si>
  <si>
    <t>Kết dư ngân sách 2024</t>
  </si>
  <si>
    <t>Nghị quyết 178 và 67</t>
  </si>
  <si>
    <t>Hổ trợ các hộ dân và thôn khắc phục bão</t>
  </si>
  <si>
    <t>Hổ trợ 31 thôn khắc phục bão</t>
  </si>
  <si>
    <t>IX</t>
  </si>
  <si>
    <t>Chi nguồn bổ sung có mục tiêu</t>
  </si>
  <si>
    <t>Đại hội Mặt trận Tổ quốc và các tổ chức chính trị xã hội cấp xã</t>
  </si>
  <si>
    <t>KP hỗ trợ cho chủ chăn nuôi có gia súc phải tiêu huỷ do dịch bệnh</t>
  </si>
  <si>
    <t>Kinh phí tuyên truyền Đại hội đại biểu Đảng bộ tỉnh lần thứ XX</t>
  </si>
  <si>
    <t>KP chi trả chế độ theo Nghị định số 178/2024/NĐ-CP, số 67/2025/NĐ-CP</t>
  </si>
  <si>
    <t>KP tặng quà nhân dân nhân dịp kỷ niệm 80 năm Cách mạng tháng Tám và Quốc khánh 2/9</t>
  </si>
  <si>
    <t>KP thực hiện công tác phòng, chống cơn bão số 05 và mưa lũ</t>
  </si>
  <si>
    <t>KP thực hiện các nhiệm vụ phục vụ sắp xếp, tổ chức bộ máy</t>
  </si>
  <si>
    <t>Mua sắm xe ô tô</t>
  </si>
  <si>
    <t xml:space="preserve">(Kèm theo báo cáo số            /BC-UBND ngày           /       /2026 của UBND xã) </t>
  </si>
  <si>
    <t xml:space="preserve">Thực hiện </t>
  </si>
  <si>
    <t>Thu bổ sung các nhiệm vụ chuyển từ cấp huyện xuống cấp xã</t>
  </si>
  <si>
    <t xml:space="preserve">(Kèm theo báo cáo số          /BC-UBND ngày           /            /2026 của UBND xã) </t>
  </si>
  <si>
    <t>0 11</t>
  </si>
  <si>
    <t>0 41</t>
  </si>
  <si>
    <t>6 tháng cuối năm</t>
  </si>
  <si>
    <t>XI</t>
  </si>
  <si>
    <t>Chuyển nguồn sang năm 2026</t>
  </si>
  <si>
    <t>KP khắc phục hậu quả bão số 10 và các đợt thiên tai khác từ đầu năm 2025</t>
  </si>
  <si>
    <t>KP Chương trình mục tiêu quốc gia giảm nghèo bền vững năm 2025</t>
  </si>
  <si>
    <t>KP tặng quà cho các đối tượng nhân dịp chào mừng Đại hội đại biểu toàn quốc lần thứ XIV của Đảng và Tết Nguyên đán Bính Ngọ</t>
  </si>
  <si>
    <t>KP bảo tồn và phát huy giá trị các di sản văn hóa</t>
  </si>
  <si>
    <t>Lương và các khoản phụ cấp, KP hoạt động Trung tâm dịch vụ tổng hợp</t>
  </si>
  <si>
    <t>KP hỗ trợ hoạt động bảo vệ môi trường (NQ 97)</t>
  </si>
  <si>
    <t>KP thực hiện chính sách khuyến khích phát triển nông nghiệp, nông thôn gắn với XD tỉnh đạt chuẩn NTM (NQ51)</t>
  </si>
  <si>
    <t>KP thực hiện cơ chế, chính sách hỗ trợ xây dựng nông thôn mới theo Nghị quyết số 44</t>
  </si>
  <si>
    <t>Tháng</t>
  </si>
  <si>
    <t>huy hiệu đảng</t>
  </si>
  <si>
    <t>lương + hoạt động</t>
  </si>
  <si>
    <t>hoạt động</t>
  </si>
  <si>
    <t>ô tô</t>
  </si>
  <si>
    <t>Lương</t>
  </si>
  <si>
    <t>Nghỉ việc</t>
  </si>
  <si>
    <t>Cơ sở vật chất</t>
  </si>
  <si>
    <t>Nguồn 18</t>
  </si>
  <si>
    <t>Nguồn nghỉ việc</t>
  </si>
  <si>
    <t xml:space="preserve">ỦY BAN NHÂN DÂN </t>
  </si>
  <si>
    <t>STT</t>
  </si>
  <si>
    <t>Bổ sung ngân sách cấp trên</t>
  </si>
  <si>
    <t xml:space="preserve">Còn lại </t>
  </si>
  <si>
    <t>Bổ sung có mục tiêu từ ngân sách cấp trên</t>
  </si>
  <si>
    <t>Kinh phí tặng quà thắp hương dịp tết nguyên đán 2025</t>
  </si>
  <si>
    <t xml:space="preserve"> Kinh phí tặng quà đối tượng còn sống năm 2025</t>
  </si>
  <si>
    <t>Khen thưởng xã đạt chuẩn nông thôn mới nâng cao, nông thôn mới kiểu mẫu năm 2024</t>
  </si>
  <si>
    <t>Cấp kinh phí chi trả mai táng phí</t>
  </si>
  <si>
    <t xml:space="preserve">Chương trình MTQG Nông thôn mới:  Vốn ĐTPT NTM năm 2025 </t>
  </si>
  <si>
    <t>Chương trình MTQG Nông thôn mới: Vốn sự nghiệp NTM năm 2025</t>
  </si>
  <si>
    <t>Hỗ trợ hoạt động bảo vệ môi trường năm 2024</t>
  </si>
  <si>
    <t>Kinh phí thực hiện chính sách hỗ trợ bảo vệ và phát triển đất trồng lúa năm 2025</t>
  </si>
  <si>
    <t>Kinh phí bảo dưỡng thường xuyên các tuyến đường cấp xã quản lý năm 2025</t>
  </si>
  <si>
    <t>Kinh phí hỗ trợ xây mới, sửa chữa nhà ở hộ nghèo, hộ cận nghèo theo Chương trình xóa nhà tạm, nhà dột nát</t>
  </si>
  <si>
    <t xml:space="preserve">Kinh phí  hỗ trợ xã thực hiện nhiệm vụ </t>
  </si>
  <si>
    <t>Kinh phí hỗ trợ các Trung tâm học tập cộng đồng</t>
  </si>
  <si>
    <t>Về việc hỗ trợ  tổ chức lễ đón nhận bằng xếp hạng di tích lịch sữ – văn hoá cấp Quốc gia</t>
  </si>
  <si>
    <t>Hỗ trợ kinh phí lấy ý kiến cử tri về sắp xếp đơn vị hành chính cấp xã năm 2025</t>
  </si>
  <si>
    <t>Về việc cấp kinh phí hỗ trợ kinh phí công trình Xây dựng nhà hành chính, các công trình phụ trợ Trường Mầm non Thạch Hà</t>
  </si>
  <si>
    <t>Về việc phê duyệt kết quả và cấp kinh phí thực hiện chính sách khuyến khích phát triển nông nghiệp, nông thôn năm 2025 theo Nghị quyết số 51/2021/NQ-HĐND ngày 16/12/2021 của HĐND tỉnh (Đợt 1)</t>
  </si>
  <si>
    <t>Chi trả kinh phí quản lý, vận hành cống ngăn mặn giữ ngọt Voọc Sim 1 và Voọc Sim 2 xã Thạch Long.</t>
  </si>
  <si>
    <t>Hỗ trợ UBND xã Thạch Sơn thực hiện các nội dung</t>
  </si>
  <si>
    <t>Kinh phí hỗ trợ hướng dẫn, tư vấn, hỗ trợ sử dụng phần mềm</t>
  </si>
  <si>
    <t>Kinh phí hỗ trợ xã từ nguồn kinh phí tăng thu, tiết kiệm chi năm 2025</t>
  </si>
  <si>
    <t>Nguồn sự nghiệp kinh tế, sự nghiệp giáo dục</t>
  </si>
  <si>
    <t>Hỗ trợ xã đạt tiêu chí đô thị văn minh năm 2024</t>
  </si>
  <si>
    <t>Hỗ trợ xã về đích NTM nâng cao năm 2024</t>
  </si>
  <si>
    <t xml:space="preserve">Nguồn vốn chương trình mục tiêu quốc gia giảm nghèo bền vững năm 2025 </t>
  </si>
  <si>
    <t xml:space="preserve">Kinh phí hỗ trợ xã </t>
  </si>
  <si>
    <t>Kinh phí hỗ trợ tiền quà ngày 27/7</t>
  </si>
  <si>
    <t>Kinh phí hỗ trợ xã</t>
  </si>
  <si>
    <t>Hỗ trợ các xã theo cơ chế phục hồi, nâng cấp mặt đường bê tông xi măng năm 2024</t>
  </si>
  <si>
    <t>Kinh phí đảm bảo an ninh trật tự thi tuyển sinh vào lớp 10</t>
  </si>
  <si>
    <t xml:space="preserve">Xã Thạch Long </t>
  </si>
  <si>
    <t>Các khoản dự toán được cấp có thẩm quyền bổ sung sau ngày 30 tháng 9 năm thực hiện dự toán, không bao gồm các khoản bổ sung do các đơn vị dự toán cấp trên. Gồm:</t>
  </si>
  <si>
    <t xml:space="preserve">Quyết định số 8732/QĐ-UBND ngày 11/12/2024: Đa dạng hóa sinh kế </t>
  </si>
  <si>
    <t xml:space="preserve">QĐ số 8937/QĐ-UBND ngày 19/12/2024: Hỗ trợ mua thẻ bảo hiểm cho thôn đội trưởng </t>
  </si>
  <si>
    <t>Các khoản tăng thu, tiết kiệm chi được sử dụng theo quy định tại khoản 2 Điều 59 của Luật ngân sách NN được cấp có thẩm quyền quyết định cho phép sử dụng vào năm sau</t>
  </si>
  <si>
    <t xml:space="preserve">Xã Thạch Sơn </t>
  </si>
  <si>
    <t>Chi đầu tư phát triển thực hiện chuyển sang năm sau theo quy định của Luật đầu tư công: Bồi thường, hỗ trự khi Nhà nước thu hồi đất thực hiện Dự án: Quy hoạch đất ở dân cư thôn Vạn Đò</t>
  </si>
  <si>
    <t>Các khoản dự toán được cấp có thẩm quyền bổ sung sau ngày 30 tháng 9 năm thực hiện dự toán, không bao gồm các khoản bổ sung do các đơn vị dự toán cấp trên: Kinh phí về việc cấp ứng thực hiện chính sách theo NQ 51/2021/NQ-HĐND tỉnh đợt 7(Theo QĐ số 9656/QĐ-UBND ngày 31/12/2024 của UBND huyện Thạch Hà)</t>
  </si>
  <si>
    <t>Kinh phí tiết kiệm 5% chi thường xuyên năm 2024</t>
  </si>
  <si>
    <t>Kinh phí được giao tự chủ của đơn vị theo khoản 3 Điều 64 của Luật ngân sách nhà nước được cấp có thẩm quyền quyết định cho phép sử dụng vào năm sau</t>
  </si>
  <si>
    <t xml:space="preserve">Thị trấn Thạch Hà </t>
  </si>
  <si>
    <t xml:space="preserve">- Các khoản tăng thu, tiết kiệm chi năm nay được phép chuyển sang năm sau theo quy định </t>
  </si>
  <si>
    <t>+ 10% tiền quy hoạch sử dụng đất</t>
  </si>
  <si>
    <t xml:space="preserve">+ 70% tăng thu ngân sách thực hiện cải các tiền lương </t>
  </si>
  <si>
    <t>- Các khoản dự toán được cấp có thẩm quyền bổ sung sau ngày 30 tháng 9 năm thực hiện dự toán, không bao gồm các khoản bổ sung do các đơn vị dự toán cấp trên gồm:</t>
  </si>
  <si>
    <t>+ Kinh phí hỗ trợ mua thẻ bảo hiểm khám chữa bệnh cho chức danh thôn đội trưởng năm 2024 (Theo QĐ số 8937/QĐ-UBND ngày 19/12/2024 của UBND huyện)</t>
  </si>
  <si>
    <t xml:space="preserve">+ Hỗ trợ đơn vị xây thực hiện các nhiệm vụ xây dựng đô thị văn minh (Theo QĐ số 9112/QĐ-UBND ngày 24/12/2024 của UBND huyện) </t>
  </si>
  <si>
    <t>+ Hỗ trợ đơn vị củng cố các tiêu chí nông thôn mới, xây dựng đô thị văn minh (Theo QĐ số 9252/QĐ-UBND ngày 27/12/2024 của UBND huyện)</t>
  </si>
  <si>
    <t xml:space="preserve">- Kinh phí được giao tự chủ của đơn vị theo khoản 3 Điều 64 của Luật ngân sách nhà nước được cấp có thẩm quyền quyết định cho phép sử dụng vào năm sau </t>
  </si>
  <si>
    <t>- Chi đầu tư phát triển thực hiện chuyển sang năm sau theo quy định của Luật đầu tư công : 'Tạm ứng kinh phí tổ chức thực hiện công tác bồi thường, hổ trợ khi Nhà nước thu hồi đất thực hiện Dự án Quy hoạch đất ở dân cư tổ dân phố 8, thị trấn Thạch Hà, huyện Thạch Hà, tỉnh Hà Tĩnh</t>
  </si>
  <si>
    <t>Nộp trả 5% tiết kiệm chi</t>
  </si>
  <si>
    <t>Kinh phí thực hiện chính sách hỗ trợ và phát triển đất trồng lúa năm 2024</t>
  </si>
  <si>
    <t xml:space="preserve">Kinh phí hỗ trợ thực hiện chính sách bảo vệ môi trường </t>
  </si>
  <si>
    <t xml:space="preserve">Nâng cấp mở rộng các tuyến đường giao thông thị trấn Thạch Hà </t>
  </si>
  <si>
    <t>Công an</t>
  </si>
  <si>
    <t>Công an (Lắp đặt Camera)</t>
  </si>
  <si>
    <t>Văn phòng UBND&amp;HĐND</t>
  </si>
  <si>
    <t>Tiểu học 1</t>
  </si>
  <si>
    <t>Tiểu học Thạch Long</t>
  </si>
  <si>
    <t>Tiểu học 2</t>
  </si>
  <si>
    <t>Mầm non 1</t>
  </si>
  <si>
    <t>Mầm non Thạch Long</t>
  </si>
  <si>
    <t>Mầm non Thạch Sơn</t>
  </si>
  <si>
    <t>Tiểu học Thạch Sơn</t>
  </si>
  <si>
    <t>Mầm non 2</t>
  </si>
  <si>
    <t>Phan Huy Chú</t>
  </si>
  <si>
    <t>Long Sơn</t>
  </si>
  <si>
    <t>Quân sự</t>
  </si>
  <si>
    <t>Văn hóa</t>
  </si>
  <si>
    <t>Thể dục thể thao</t>
  </si>
  <si>
    <t>Xử lý chất thải rắn</t>
  </si>
  <si>
    <t>Nông nghiệp và dịch vụ nông nghiệp</t>
  </si>
  <si>
    <t>Thủy lợi và dịch vụ thủy lợi</t>
  </si>
  <si>
    <t>Giao thông</t>
  </si>
  <si>
    <t>Thị chính</t>
  </si>
  <si>
    <t>Lương hưu và trợ cấp bảo hiểm xã hội</t>
  </si>
  <si>
    <t>Hỗ trợ kinh phí mua thẻ bảo hiểm y tế cho các đối tượng chính sách</t>
  </si>
  <si>
    <t>Chính sách và hoạt động phục vụ các đối tượng bảo trợ xã hội và các đối tượng khác</t>
  </si>
  <si>
    <t>Chi khác</t>
  </si>
  <si>
    <t>Trợ cấp mai táng</t>
  </si>
  <si>
    <t>Phụ cấp khác</t>
  </si>
  <si>
    <t>Hỗ trợ cải thiện nhà ở</t>
  </si>
  <si>
    <t>Chi các khoản khác</t>
  </si>
  <si>
    <t>Tiền điện</t>
  </si>
  <si>
    <t>Tiết kiệm chi huyện</t>
  </si>
  <si>
    <t>Nộp trả ngân sách</t>
  </si>
  <si>
    <t>Nộp trả ngân sách cấp trên (Tiết kiệm chi)</t>
  </si>
  <si>
    <t>Mặt trận 190</t>
  </si>
  <si>
    <t>Đảng 270</t>
  </si>
  <si>
    <t>VP UBND xã 890</t>
  </si>
  <si>
    <t>Hổ trợ thuế</t>
  </si>
  <si>
    <t>(9)=(8)/(4)*100</t>
  </si>
  <si>
    <t>(10)=(8)/(6)*100</t>
  </si>
  <si>
    <t xml:space="preserve">(Kèm theo báo cáo số       /BC-UBND ngày        /      /     của UBND xã) </t>
  </si>
  <si>
    <t>Đơn vị: Triệu đồng</t>
  </si>
  <si>
    <t>Nội dung thu</t>
  </si>
  <si>
    <t>Quyết toán</t>
  </si>
  <si>
    <t>Nội dung chi</t>
  </si>
  <si>
    <t>Tổng số thu</t>
  </si>
  <si>
    <t>Tổng số chi</t>
  </si>
  <si>
    <t>I. Chi đầu tư phát triển</t>
  </si>
  <si>
    <t>II. Chi thường xuyên</t>
  </si>
  <si>
    <t>III. Chi chuyển nguồn ngân sách xã sang năm sau</t>
  </si>
  <si>
    <t>IV. Chi nộp trả ngân sách cấp trên</t>
  </si>
  <si>
    <t>I. Các khoản thu xã hưởng 100%</t>
  </si>
  <si>
    <t>II. Các khoản thu phân chia theo tỷ lệ</t>
  </si>
  <si>
    <t>III. Thu bổ sung</t>
  </si>
  <si>
    <t>Bổ sung cân đối ngân sách</t>
  </si>
  <si>
    <t>Bổ sung có mục tiêu</t>
  </si>
  <si>
    <t>IV. Thu kết dư ngân sách năm trước</t>
  </si>
  <si>
    <t>V. Thu chuyển nguồn từ năm trước sang ngân sách năm nay</t>
  </si>
  <si>
    <t>Kết dư ngân sách</t>
  </si>
  <si>
    <t>PHỤ LỤC 01: CÂN ĐỐI QUYẾT TOÁN NGÂN SÁCH XÃ 2025</t>
  </si>
  <si>
    <t>PHỤ LỤC 02: QUYẾT TOÁN THU NSNN NĂM 2025</t>
  </si>
  <si>
    <t>PHỤ LỤC 03: QUYẾT TOÁN CHI NSNN NĂM 2025</t>
  </si>
  <si>
    <t xml:space="preserve">(Kèm theo báo cáo số         /BC-UBND ngày           /         /2026 của UBND xã) </t>
  </si>
  <si>
    <t>PHỤ LỤC 04: QUYẾT TOÁN CHI BỔ SUNG MỤC TIÊU, CHUYỂN NGUỒN, KẾT DƯ NGÂN SÁCH ĐỊA PHƯƠNG NĂM 2025</t>
  </si>
  <si>
    <t xml:space="preserve">ĐTV: Triệu đồng </t>
  </si>
  <si>
    <r>
      <t>X</t>
    </r>
    <r>
      <rPr>
        <b/>
        <u/>
        <sz val="12"/>
        <rFont val="Times New Roman"/>
        <family val="1"/>
      </rPr>
      <t>Ã THẠCH H</t>
    </r>
    <r>
      <rPr>
        <b/>
        <sz val="12"/>
        <rFont val="Times New Roman"/>
        <family val="1"/>
      </rPr>
      <t xml:space="preserve">À </t>
    </r>
  </si>
  <si>
    <t xml:space="preserve">ĐVT: Triệu đồng </t>
  </si>
  <si>
    <t>Tên công trình</t>
  </si>
  <si>
    <t xml:space="preserve">Tổng mức
 đầu tư </t>
  </si>
  <si>
    <t>Tổng nguồn vốn bố trí năm 2025</t>
  </si>
  <si>
    <t>Trong đó:</t>
  </si>
  <si>
    <t>Tổng mức đầu tư tăng (-); giảm (-)</t>
  </si>
  <si>
    <t xml:space="preserve">Điều chỉnh tăng </t>
  </si>
  <si>
    <t>Điều chỉnh giảm NS xã</t>
  </si>
  <si>
    <t xml:space="preserve">Ngân 
sách xã </t>
  </si>
  <si>
    <t xml:space="preserve">Nguồn
 khác  </t>
  </si>
  <si>
    <t>NS tỉnh</t>
  </si>
  <si>
    <t>NS xã</t>
  </si>
  <si>
    <t xml:space="preserve">TỔNG CỘNG </t>
  </si>
  <si>
    <t xml:space="preserve">Lĩnh vực giáo dục </t>
  </si>
  <si>
    <t>Sửa chữa mái nhà học 2 tầng 9 phòng trường Tiểu học Thạch Sơn khắc phục bão số 5</t>
  </si>
  <si>
    <t>Sửa chữa mái nhà học 2 tầng 6 phòng và nhà để xe trường Tiểu học 1 thị trấn khắc phục bão số 5</t>
  </si>
  <si>
    <t>Sửa chữa các hạng mục nhà xe, hàng rào, mương thoát nước trường THCS Phan Huy Chú khắc phục bão số 5</t>
  </si>
  <si>
    <t xml:space="preserve">Sửa chữa, nâng cấp phòng học và sân chơi tại điểm trường số 2 Trường Mầm non 1 thị trấn Thạch Hà </t>
  </si>
  <si>
    <t xml:space="preserve">Sửa chữa, nâng cấp nhà hành chính và các hạng mục phụ trợ Trường Mần non Thạch Sơn </t>
  </si>
  <si>
    <t xml:space="preserve">Xây dựng mương thoát nước tại cơ sở 1 Trường Tiểu học 1 thị trấn Thạch Hà </t>
  </si>
  <si>
    <t xml:space="preserve">Xây dựng mương thoát nước và công trình vệ sinh giáo viên Trường tiểu học 2 thị trấn Thạch Hà </t>
  </si>
  <si>
    <t>Xây dựng tường rào và các hạng mục phụ trợ Trường Tiểu học Thạch Sơn</t>
  </si>
  <si>
    <t>Xây dựng tường rào và các hạng mục phụ trợ Trường Tiểu học Thạch Long</t>
  </si>
  <si>
    <t>Xây dựng Nhà thư viện và các công trình phụ trợ cho Trường THCS Phan Huy Chú</t>
  </si>
  <si>
    <t xml:space="preserve">Xây dựng sân bóng Trường THCS Long Sơn </t>
  </si>
  <si>
    <t>Cải tạo, sửa chữa nhà học, nhà bộ môn, nhà hiệu bộ và các hạng mục phụ trợ Trường THCS Phan Huy Chú</t>
  </si>
  <si>
    <t>Cải tạo, sửa chữa nhà học 02 tầng 08 phòng và các hạng mục phụ trợ Trường Tiểu học Thạch Long</t>
  </si>
  <si>
    <t xml:space="preserve">Lĩnh vực giao thông </t>
  </si>
  <si>
    <t xml:space="preserve">Đường giao thông nông thôn, nội đồng xã Thạch Hà (Theo Nghị quyết 44/HĐND tỉnh) </t>
  </si>
  <si>
    <t xml:space="preserve">Phục hồi đường bê tông GTNT xã Thạch Hà (Theo Nghị quyết 44/HĐND tỉnh) </t>
  </si>
  <si>
    <t>Xây dựng đường giao thông khu dân cư thôn Gia Ngãi 1</t>
  </si>
  <si>
    <t>Xây dụng đường giao thông khu dân cư Tổ dân phố 12</t>
  </si>
  <si>
    <t xml:space="preserve">Lĩnh vực Nông nghiệp - Thủy lợi </t>
  </si>
  <si>
    <t>Xây dựng tuyến kênh tưới kết hợp đường giao thông nội đồng thôn Đình Hàn, xã Thạch Hà</t>
  </si>
  <si>
    <t>Xây dựng tuyến kênh phục vụ tưới, tiêu tổ dân phố 13, xã Thạch Hà</t>
  </si>
  <si>
    <t>Sửa chữa hệ thống trạm bơm trên địa bàn xã Thạch Hà</t>
  </si>
  <si>
    <t>IV</t>
  </si>
  <si>
    <t>Lĩnh vực khác</t>
  </si>
  <si>
    <t>Sửa chữa, nâng cấp trụ sở cơ quan Đảng ủy - HĐND - UBND - UBMTTQ Việt Nam xã Thạch Hà và các hạng mục phụ trợ</t>
  </si>
  <si>
    <t>Hệ thống nước sạch cụm dân cư số 1 thôn Nam Giang, xã Thạch Hà</t>
  </si>
  <si>
    <t>Xây dựng hệ thống điện chiếu sáng đường Lý Nhật Quang (đoạn từ Ngõ Anh Hải thôn 12 đến đường 1B và đoạn từ ngã tư Chợ Mương đến Cầu Là) hư hỏng do bão số 5 và số 10</t>
  </si>
  <si>
    <t>Xây dựng hệ thống điện chiếu sáng đường TX03 từ Tỉnh lộ 20 đi QL 15B (Đan trung - Nam Giang) hư hỏng do bão số 5 và số 10</t>
  </si>
  <si>
    <t>Xây dựng hệ tống điện chiếu sáng tuyến TT01 từ Thôn Đình Hàn - Tri Khê</t>
  </si>
  <si>
    <t>Xây dựng hệ thống điện chiếu sáng đường Nguyễn Thái Cư, Nguyễn Huy Thuận hư hỏng do bão số 5 và số 10</t>
  </si>
  <si>
    <t>Sửa chữa, làm mới hệ thống trang trí cầu cày, cầu nga, tuyến QL 1A, các Tiểu công viên và trang trí phục vụ các ngày Lễ Tết</t>
  </si>
  <si>
    <t>Hàng rào và một số hạng mục phụ trợ trạm y tế Thị trấn</t>
  </si>
  <si>
    <t>XD mới nhà học 2 tầng 6 phòng Trường MN Thạch Sơn</t>
  </si>
  <si>
    <t>ỦY BAN NHÂN DÂN XÃ</t>
  </si>
  <si>
    <t>PHỤ LỤC 05: QUYẾT TOÁN KINH PHÍ ĐẦU TƯ CÔNG NĂM 2025</t>
  </si>
  <si>
    <t>(Kèm theo báo cáo số             /BC-UBND ngày         /             / 2026 của UBND xã)</t>
  </si>
  <si>
    <t xml:space="preserve">Tổng mức đầu tư </t>
  </si>
  <si>
    <t xml:space="preserve">Tổng vốn bố trí </t>
  </si>
  <si>
    <t xml:space="preserve">Xây dựng kênh tưới phục vụ sản xuất thôn Tri Khê, xã Thạch Hà  </t>
  </si>
  <si>
    <t>Sửa chữa, nâng cấp hệ thống điện và các hạng mục phụ trợ Trường Mầm non Thạch Long</t>
  </si>
  <si>
    <t xml:space="preserve">Sửa chữa, nâng cấp cổng, hàng rào và mái che Trường Mầm non 2 thị trấn Thạch Hà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</si>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</sst>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_(* #,##0_);_(* \(#,##0\);_(* &quot;-&quot;??_);_(@_)"/>
    <numFmt numFmtId="165" formatCode="_(* #,##0.000_);_(* \(#,##0.000\);_(* &quot;-&quot;??_);_(@_)"/>
    <numFmt numFmtId="166" formatCode="_(* #,##0.0000_);_(* \(#,##0.0000\);_(* &quot;-&quot;??_);_(@_)"/>
    <numFmt numFmtId="167" formatCode="_-* #,##0\ _₫_-;\-* #,##0\ _₫_-;_-* &quot;-&quot;??\ _₫_-;_-@_-"/>
    <numFmt numFmtId="168" formatCode="#,##0.0"/>
  </numFmts>
  <fonts count="46" x14ac:knownFonts="1">
    <font>
      <sz val="11"/>
      <color theme="1"/>
      <name val="Calibri"/>
      <family val="2"/>
      <scheme val="minor"/>
    </font>
    <font>
      <sz val="11"/>
      <color theme="1"/>
      <name val="Calibri"/>
      <family val="2"/>
      <scheme val="minor"/>
    </font>
    <font>
      <b/>
      <sz val="13"/>
      <name val="Times New Roman"/>
      <family val="1"/>
    </font>
    <font>
      <sz val="13"/>
      <name val="Times New Roman"/>
      <family val="1"/>
    </font>
    <font>
      <i/>
      <sz val="13"/>
      <name val="Times New Roman"/>
      <family val="1"/>
    </font>
    <font>
      <b/>
      <sz val="12"/>
      <name val="Times New Roman"/>
      <family val="1"/>
    </font>
    <font>
      <sz val="12"/>
      <name val="Times New Roman"/>
      <family val="1"/>
    </font>
    <font>
      <i/>
      <sz val="12"/>
      <name val="Times New Roman"/>
      <family val="1"/>
    </font>
    <font>
      <sz val="12"/>
      <color rgb="FFFF0000"/>
      <name val="Times New Roman"/>
      <family val="1"/>
    </font>
    <font>
      <sz val="11"/>
      <color theme="1"/>
      <name val="Calibri"/>
      <family val="2"/>
      <charset val="163"/>
      <scheme val="minor"/>
    </font>
    <font>
      <sz val="14"/>
      <name val=".VnTime"/>
      <family val="2"/>
    </font>
    <font>
      <sz val="12"/>
      <color theme="1"/>
      <name val="Times New Roman"/>
      <family val="2"/>
    </font>
    <font>
      <b/>
      <sz val="12"/>
      <color theme="1"/>
      <name val="Times New Roman"/>
      <family val="1"/>
    </font>
    <font>
      <sz val="14"/>
      <color theme="1"/>
      <name val="Times New Roman"/>
      <family val="2"/>
    </font>
    <font>
      <sz val="12"/>
      <name val=".VnTime"/>
      <family val="2"/>
    </font>
    <font>
      <sz val="11"/>
      <color indexed="8"/>
      <name val="Arial"/>
      <family val="2"/>
    </font>
    <font>
      <i/>
      <sz val="12"/>
      <color theme="1"/>
      <name val="Times New Roman"/>
      <family val="1"/>
    </font>
    <font>
      <sz val="11"/>
      <color theme="1"/>
      <name val="Times New Roman"/>
      <family val="1"/>
    </font>
    <font>
      <b/>
      <sz val="11"/>
      <color theme="1"/>
      <name val="Times New Roman"/>
      <family val="1"/>
    </font>
    <font>
      <sz val="12"/>
      <color theme="1"/>
      <name val="Times New Roman"/>
      <family val="1"/>
    </font>
    <font>
      <sz val="10"/>
      <name val="Arial"/>
      <family val="2"/>
    </font>
    <font>
      <sz val="9"/>
      <color theme="1"/>
      <name val="Times New Roman"/>
      <family val="1"/>
    </font>
    <font>
      <b/>
      <sz val="9"/>
      <color theme="1"/>
      <name val="Times New Roman"/>
      <family val="1"/>
    </font>
    <font>
      <b/>
      <sz val="9"/>
      <color indexed="81"/>
      <name val="Tahoma"/>
      <family val="2"/>
    </font>
    <font>
      <b/>
      <sz val="9"/>
      <color rgb="FFFF0000"/>
      <name val="Times New Roman"/>
      <family val="1"/>
    </font>
    <font>
      <i/>
      <sz val="9"/>
      <name val="Times New Roman"/>
      <family val="1"/>
    </font>
    <font>
      <sz val="9"/>
      <color rgb="FFFF0000"/>
      <name val="Times New Roman"/>
      <family val="1"/>
    </font>
    <font>
      <b/>
      <sz val="9"/>
      <name val="Times New Roman"/>
      <family val="1"/>
    </font>
    <font>
      <sz val="9"/>
      <name val="Times New Roman"/>
      <family val="1"/>
    </font>
    <font>
      <sz val="11"/>
      <color rgb="FFFF0000"/>
      <name val="Times New Roman"/>
      <family val="1"/>
    </font>
    <font>
      <sz val="11"/>
      <name val="Times New Roman"/>
      <family val="1"/>
    </font>
    <font>
      <sz val="11"/>
      <color rgb="FF0070C0"/>
      <name val="Times New Roman"/>
      <family val="1"/>
    </font>
    <font>
      <sz val="9"/>
      <color rgb="FF0070C0"/>
      <name val="Times New Roman"/>
      <family val="1"/>
    </font>
    <font>
      <sz val="11"/>
      <color rgb="FF000000"/>
      <name val="Times New Roman"/>
      <family val="1"/>
    </font>
    <font>
      <sz val="12"/>
      <color rgb="FF000000"/>
      <name val="Times New Roman"/>
      <family val="1"/>
    </font>
    <font>
      <sz val="9"/>
      <color rgb="FFFFC000"/>
      <name val="Times New Roman"/>
      <family val="1"/>
    </font>
    <font>
      <sz val="9"/>
      <color rgb="FFC00000"/>
      <name val="Times New Roman"/>
      <family val="1"/>
    </font>
    <font>
      <sz val="9"/>
      <color rgb="FF081B3A"/>
      <name val="Segoe UI"/>
      <family val="2"/>
    </font>
    <font>
      <b/>
      <sz val="11"/>
      <name val="Times New Roman"/>
      <family val="1"/>
    </font>
    <font>
      <i/>
      <sz val="11"/>
      <name val="Times New Roman"/>
      <family val="1"/>
    </font>
    <font>
      <b/>
      <i/>
      <sz val="11"/>
      <name val="Times New Roman"/>
      <family val="1"/>
    </font>
    <font>
      <sz val="9"/>
      <name val="Segoe UI"/>
      <family val="2"/>
    </font>
    <font>
      <i/>
      <sz val="10"/>
      <color theme="1"/>
      <name val="Times New Roman"/>
      <family val="1"/>
    </font>
    <font>
      <b/>
      <i/>
      <sz val="12"/>
      <name val="Times New Roman"/>
      <family val="1"/>
    </font>
    <font>
      <b/>
      <u/>
      <sz val="12"/>
      <name val="Times New Roman"/>
      <family val="1"/>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2">
    <xf numFmtId="0" fontId="0" fillId="0" borderId="0"/>
    <xf numFmtId="43" fontId="1" fillId="0" borderId="0" applyFont="0" applyFill="0" applyBorder="0" applyAlignment="0" applyProtection="0"/>
    <xf numFmtId="3" fontId="6" fillId="0" borderId="0">
      <alignment vertical="center" wrapText="1"/>
    </xf>
    <xf numFmtId="43" fontId="1" fillId="0" borderId="0" applyFont="0" applyFill="0" applyBorder="0" applyAlignment="0" applyProtection="0"/>
    <xf numFmtId="0" fontId="9" fillId="0" borderId="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0" fontId="11" fillId="0" borderId="0"/>
    <xf numFmtId="43" fontId="13" fillId="0" borderId="0" applyFont="0" applyFill="0" applyBorder="0" applyAlignment="0" applyProtection="0"/>
    <xf numFmtId="0" fontId="11" fillId="0" borderId="0"/>
    <xf numFmtId="0" fontId="14" fillId="0" borderId="0"/>
    <xf numFmtId="43" fontId="15" fillId="0" borderId="0" applyFont="0" applyFill="0" applyBorder="0" applyAlignment="0" applyProtection="0"/>
    <xf numFmtId="0" fontId="20" fillId="0" borderId="0"/>
    <xf numFmtId="43" fontId="1" fillId="0" borderId="0" applyFont="0" applyFill="0" applyBorder="0" applyAlignment="0" applyProtection="0"/>
    <xf numFmtId="0" fontId="20" fillId="0" borderId="0"/>
    <xf numFmtId="41" fontId="1" fillId="0" borderId="0" applyFont="0" applyFill="0" applyBorder="0" applyAlignment="0" applyProtection="0"/>
    <xf numFmtId="0" fontId="1" fillId="0" borderId="0"/>
    <xf numFmtId="0" fontId="10" fillId="0" borderId="0"/>
    <xf numFmtId="3" fontId="6" fillId="0" borderId="0">
      <alignment vertical="center" wrapText="1"/>
    </xf>
    <xf numFmtId="0" fontId="6" fillId="0" borderId="0"/>
  </cellStyleXfs>
  <cellXfs count="369">
    <xf numFmtId="0" fontId="0" fillId="0" borderId="0" xfId="0"/>
    <xf numFmtId="3" fontId="7" fillId="2" borderId="3" xfId="0" applyNumberFormat="1" applyFont="1" applyFill="1" applyBorder="1" applyAlignment="1">
      <alignment vertical="center" wrapText="1"/>
    </xf>
    <xf numFmtId="3" fontId="7" fillId="2" borderId="3" xfId="0" applyNumberFormat="1" applyFont="1" applyFill="1" applyBorder="1" applyAlignment="1">
      <alignment horizontal="justify" vertical="center" wrapText="1"/>
    </xf>
    <xf numFmtId="164" fontId="21" fillId="2" borderId="0" xfId="1" applyNumberFormat="1" applyFont="1" applyFill="1"/>
    <xf numFmtId="164" fontId="6" fillId="2" borderId="3" xfId="1" applyNumberFormat="1" applyFont="1" applyFill="1" applyBorder="1" applyAlignment="1">
      <alignment horizontal="justify" vertical="center" wrapText="1"/>
    </xf>
    <xf numFmtId="43" fontId="6" fillId="2" borderId="3" xfId="1" applyFont="1" applyFill="1" applyBorder="1" applyAlignment="1">
      <alignment horizontal="justify" vertical="center" wrapText="1"/>
    </xf>
    <xf numFmtId="0" fontId="6" fillId="2" borderId="0" xfId="0" applyFont="1" applyFill="1" applyAlignment="1">
      <alignment horizontal="justify" vertical="center"/>
    </xf>
    <xf numFmtId="3" fontId="7" fillId="2" borderId="3" xfId="2" applyFont="1" applyFill="1" applyBorder="1" applyAlignment="1">
      <alignment horizontal="center" vertical="center" wrapText="1"/>
    </xf>
    <xf numFmtId="164" fontId="7" fillId="2" borderId="3" xfId="1" applyNumberFormat="1" applyFont="1" applyFill="1" applyBorder="1" applyAlignment="1">
      <alignment horizontal="justify" vertical="center" wrapText="1"/>
    </xf>
    <xf numFmtId="0" fontId="7" fillId="2" borderId="0" xfId="0" applyFont="1" applyFill="1" applyAlignment="1">
      <alignment horizontal="justify" vertical="center"/>
    </xf>
    <xf numFmtId="0" fontId="2" fillId="2" borderId="0" xfId="0" applyFont="1" applyFill="1" applyAlignment="1">
      <alignment horizontal="center" vertical="center"/>
    </xf>
    <xf numFmtId="164" fontId="2" fillId="2" borderId="0" xfId="0" applyNumberFormat="1"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164" fontId="4" fillId="2" borderId="0" xfId="1" applyNumberFormat="1" applyFont="1" applyFill="1" applyBorder="1" applyAlignment="1">
      <alignment vertical="center"/>
    </xf>
    <xf numFmtId="164" fontId="5" fillId="2" borderId="3" xfId="1" applyNumberFormat="1" applyFont="1" applyFill="1" applyBorder="1" applyAlignment="1">
      <alignment horizontal="center" vertical="center" wrapText="1"/>
    </xf>
    <xf numFmtId="0" fontId="6" fillId="2" borderId="0" xfId="0" applyFont="1" applyFill="1" applyAlignment="1">
      <alignment horizontal="center" vertical="center"/>
    </xf>
    <xf numFmtId="49" fontId="25" fillId="2" borderId="3" xfId="1" applyNumberFormat="1" applyFont="1" applyFill="1" applyBorder="1" applyAlignment="1">
      <alignment horizontal="center" vertical="center" wrapText="1"/>
    </xf>
    <xf numFmtId="0" fontId="25" fillId="2" borderId="0" xfId="0" applyFont="1" applyFill="1" applyAlignment="1">
      <alignment horizontal="center" vertical="center"/>
    </xf>
    <xf numFmtId="164" fontId="5" fillId="2" borderId="3" xfId="1" applyNumberFormat="1" applyFont="1" applyFill="1" applyBorder="1" applyAlignment="1">
      <alignment horizontal="justify" vertical="center" wrapText="1"/>
    </xf>
    <xf numFmtId="43" fontId="5" fillId="2" borderId="3" xfId="1" applyFont="1" applyFill="1" applyBorder="1" applyAlignment="1">
      <alignment horizontal="justify" vertical="center" wrapText="1"/>
    </xf>
    <xf numFmtId="164" fontId="6" fillId="2" borderId="0" xfId="1" applyNumberFormat="1" applyFont="1" applyFill="1" applyAlignment="1">
      <alignment horizontal="justify" vertical="center"/>
    </xf>
    <xf numFmtId="3" fontId="6" fillId="2" borderId="0" xfId="0" applyNumberFormat="1" applyFont="1" applyFill="1" applyAlignment="1">
      <alignment horizontal="right" vertical="center"/>
    </xf>
    <xf numFmtId="3" fontId="5" fillId="2" borderId="3" xfId="2" applyFont="1" applyFill="1" applyBorder="1" applyAlignment="1">
      <alignment horizontal="center" vertical="center" wrapText="1"/>
    </xf>
    <xf numFmtId="3" fontId="5" fillId="2" borderId="3" xfId="2" applyFont="1" applyFill="1" applyBorder="1" applyAlignment="1">
      <alignment horizontal="left" vertical="center" wrapText="1"/>
    </xf>
    <xf numFmtId="164" fontId="5" fillId="2" borderId="0" xfId="0" applyNumberFormat="1" applyFont="1" applyFill="1" applyAlignment="1">
      <alignment horizontal="justify" vertical="center"/>
    </xf>
    <xf numFmtId="43" fontId="5" fillId="2" borderId="0" xfId="0" applyNumberFormat="1" applyFont="1" applyFill="1" applyAlignment="1">
      <alignment horizontal="justify" vertical="center"/>
    </xf>
    <xf numFmtId="0" fontId="5" fillId="2" borderId="0" xfId="0" applyFont="1" applyFill="1" applyAlignment="1">
      <alignment horizontal="justify" vertical="center"/>
    </xf>
    <xf numFmtId="3" fontId="7" fillId="2" borderId="3" xfId="2" applyFont="1" applyFill="1" applyBorder="1" applyAlignment="1">
      <alignment horizontal="left" vertical="center" wrapText="1"/>
    </xf>
    <xf numFmtId="3" fontId="7" fillId="2" borderId="0" xfId="0" applyNumberFormat="1" applyFont="1" applyFill="1" applyAlignment="1">
      <alignment horizontal="justify" vertical="center"/>
    </xf>
    <xf numFmtId="0" fontId="6" fillId="2" borderId="3" xfId="14" applyFont="1" applyFill="1" applyBorder="1" applyAlignment="1">
      <alignment horizontal="left" vertical="center" wrapText="1"/>
    </xf>
    <xf numFmtId="0" fontId="7" fillId="2" borderId="3" xfId="14" applyFont="1" applyFill="1" applyBorder="1" applyAlignment="1">
      <alignment horizontal="left" vertical="center" wrapText="1"/>
    </xf>
    <xf numFmtId="165" fontId="5" fillId="2" borderId="0" xfId="0" applyNumberFormat="1" applyFont="1" applyFill="1" applyAlignment="1">
      <alignment horizontal="justify"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horizontal="left" vertical="center" wrapText="1"/>
    </xf>
    <xf numFmtId="164" fontId="6" fillId="2" borderId="3" xfId="1" applyNumberFormat="1" applyFont="1" applyFill="1" applyBorder="1" applyAlignment="1">
      <alignment horizontal="justify" vertical="center"/>
    </xf>
    <xf numFmtId="164" fontId="6" fillId="2" borderId="0" xfId="0" applyNumberFormat="1" applyFont="1" applyFill="1" applyAlignment="1">
      <alignment horizontal="justify" vertical="center"/>
    </xf>
    <xf numFmtId="164" fontId="3" fillId="2" borderId="0" xfId="1" applyNumberFormat="1" applyFont="1" applyFill="1" applyBorder="1" applyAlignment="1">
      <alignment horizontal="justify" vertical="center"/>
    </xf>
    <xf numFmtId="164" fontId="6" fillId="2" borderId="0" xfId="1" applyNumberFormat="1" applyFont="1" applyFill="1" applyBorder="1" applyAlignment="1">
      <alignment horizontal="justify" vertical="center" wrapText="1"/>
    </xf>
    <xf numFmtId="164" fontId="3" fillId="2" borderId="0" xfId="1" applyNumberFormat="1" applyFont="1" applyFill="1" applyBorder="1" applyAlignment="1">
      <alignment horizontal="justify" vertical="center" wrapText="1"/>
    </xf>
    <xf numFmtId="43" fontId="3" fillId="2" borderId="0" xfId="1" applyFont="1" applyFill="1" applyBorder="1" applyAlignment="1">
      <alignment horizontal="justify" vertical="center" wrapText="1"/>
    </xf>
    <xf numFmtId="0" fontId="3" fillId="2" borderId="0" xfId="0" applyFont="1" applyFill="1" applyAlignment="1">
      <alignment horizontal="justify" vertical="center"/>
    </xf>
    <xf numFmtId="164" fontId="3" fillId="2" borderId="0" xfId="0" applyNumberFormat="1" applyFont="1" applyFill="1" applyAlignment="1">
      <alignment horizontal="justify" vertical="center"/>
    </xf>
    <xf numFmtId="164" fontId="3" fillId="2" borderId="0" xfId="1" applyNumberFormat="1" applyFont="1" applyFill="1" applyAlignment="1">
      <alignment horizontal="justify" vertical="center"/>
    </xf>
    <xf numFmtId="164" fontId="22" fillId="0" borderId="0" xfId="1" applyNumberFormat="1" applyFont="1" applyAlignment="1">
      <alignment horizontal="center"/>
    </xf>
    <xf numFmtId="164" fontId="22" fillId="0" borderId="0" xfId="1" applyNumberFormat="1" applyFont="1" applyAlignment="1"/>
    <xf numFmtId="164" fontId="21" fillId="0" borderId="0" xfId="1" applyNumberFormat="1" applyFont="1"/>
    <xf numFmtId="164" fontId="22" fillId="0" borderId="0" xfId="1" applyNumberFormat="1" applyFont="1"/>
    <xf numFmtId="164" fontId="24" fillId="0" borderId="0" xfId="1" applyNumberFormat="1" applyFont="1" applyAlignment="1">
      <alignment horizontal="center"/>
    </xf>
    <xf numFmtId="164" fontId="26" fillId="0" borderId="0" xfId="1" applyNumberFormat="1" applyFont="1"/>
    <xf numFmtId="164" fontId="24" fillId="0" borderId="0" xfId="1" applyNumberFormat="1" applyFont="1"/>
    <xf numFmtId="164" fontId="26" fillId="3" borderId="0" xfId="1" applyNumberFormat="1" applyFont="1" applyFill="1"/>
    <xf numFmtId="164" fontId="27" fillId="0" borderId="0" xfId="1" applyNumberFormat="1" applyFont="1" applyAlignment="1">
      <alignment horizontal="center"/>
    </xf>
    <xf numFmtId="164" fontId="28" fillId="0" borderId="0" xfId="1" applyNumberFormat="1" applyFont="1"/>
    <xf numFmtId="164" fontId="28" fillId="3" borderId="0" xfId="1" applyNumberFormat="1" applyFont="1" applyFill="1"/>
    <xf numFmtId="164" fontId="21" fillId="3" borderId="0" xfId="1" applyNumberFormat="1" applyFont="1" applyFill="1"/>
    <xf numFmtId="0" fontId="8" fillId="2" borderId="3" xfId="0" applyFont="1" applyFill="1" applyBorder="1" applyAlignment="1">
      <alignment vertical="center"/>
    </xf>
    <xf numFmtId="0" fontId="8" fillId="2" borderId="3" xfId="0" applyFont="1" applyFill="1" applyBorder="1" applyAlignment="1">
      <alignment vertical="center" wrapText="1"/>
    </xf>
    <xf numFmtId="164" fontId="8" fillId="2" borderId="3" xfId="1" applyNumberFormat="1" applyFont="1" applyFill="1" applyBorder="1" applyAlignment="1">
      <alignment vertical="center"/>
    </xf>
    <xf numFmtId="0" fontId="17" fillId="0" borderId="0" xfId="0" applyFont="1"/>
    <xf numFmtId="164" fontId="17" fillId="0" borderId="0" xfId="1" applyNumberFormat="1" applyFont="1"/>
    <xf numFmtId="14" fontId="17" fillId="0" borderId="0" xfId="0" applyNumberFormat="1" applyFont="1"/>
    <xf numFmtId="3" fontId="33" fillId="0" borderId="0" xfId="0" applyNumberFormat="1" applyFont="1"/>
    <xf numFmtId="14" fontId="29" fillId="0" borderId="0" xfId="0" applyNumberFormat="1" applyFont="1"/>
    <xf numFmtId="3" fontId="29" fillId="0" borderId="0" xfId="0" applyNumberFormat="1" applyFont="1"/>
    <xf numFmtId="164" fontId="29" fillId="0" borderId="0" xfId="1" applyNumberFormat="1" applyFont="1"/>
    <xf numFmtId="0" fontId="29" fillId="0" borderId="0" xfId="0" applyFont="1"/>
    <xf numFmtId="3" fontId="34" fillId="0" borderId="0" xfId="0" applyNumberFormat="1" applyFont="1"/>
    <xf numFmtId="0" fontId="3" fillId="2" borderId="0" xfId="0" applyFont="1" applyFill="1" applyAlignment="1">
      <alignment vertical="center"/>
    </xf>
    <xf numFmtId="0" fontId="2" fillId="2" borderId="0" xfId="0" applyFont="1" applyFill="1" applyAlignment="1">
      <alignment horizontal="justify" vertical="center"/>
    </xf>
    <xf numFmtId="0" fontId="4" fillId="2" borderId="0" xfId="0" applyFont="1" applyFill="1" applyAlignment="1">
      <alignment horizontal="justify" vertical="center"/>
    </xf>
    <xf numFmtId="0" fontId="3" fillId="2" borderId="0" xfId="0" applyFont="1" applyFill="1" applyAlignment="1">
      <alignment horizontal="justify" vertical="center" wrapText="1"/>
    </xf>
    <xf numFmtId="0" fontId="3" fillId="2" borderId="0" xfId="0" applyFont="1" applyFill="1" applyAlignment="1">
      <alignment vertical="center" wrapText="1"/>
    </xf>
    <xf numFmtId="3" fontId="3" fillId="2" borderId="0" xfId="0" applyNumberFormat="1" applyFont="1" applyFill="1" applyAlignment="1">
      <alignment vertical="center" wrapText="1"/>
    </xf>
    <xf numFmtId="164" fontId="3" fillId="2" borderId="0" xfId="1" applyNumberFormat="1" applyFont="1" applyFill="1" applyAlignment="1">
      <alignment vertical="center"/>
    </xf>
    <xf numFmtId="164" fontId="17" fillId="0" borderId="0" xfId="1" applyNumberFormat="1" applyFont="1" applyAlignment="1">
      <alignment vertical="center"/>
    </xf>
    <xf numFmtId="164" fontId="17" fillId="0" borderId="0" xfId="1" applyNumberFormat="1" applyFont="1" applyAlignment="1">
      <alignment horizontal="center" vertical="center"/>
    </xf>
    <xf numFmtId="164" fontId="31" fillId="0" borderId="0" xfId="1" applyNumberFormat="1" applyFont="1"/>
    <xf numFmtId="164" fontId="29" fillId="0" borderId="0" xfId="1" applyNumberFormat="1" applyFont="1" applyAlignment="1">
      <alignment vertical="center"/>
    </xf>
    <xf numFmtId="164" fontId="29" fillId="0" borderId="0" xfId="1" applyNumberFormat="1" applyFont="1" applyAlignment="1">
      <alignment horizontal="center" vertical="center"/>
    </xf>
    <xf numFmtId="164" fontId="31" fillId="0" borderId="0" xfId="1" applyNumberFormat="1" applyFont="1" applyAlignment="1">
      <alignment vertical="center"/>
    </xf>
    <xf numFmtId="164" fontId="30" fillId="2" borderId="3" xfId="0" applyNumberFormat="1" applyFont="1" applyFill="1" applyBorder="1" applyAlignment="1">
      <alignment vertical="center" wrapText="1"/>
    </xf>
    <xf numFmtId="43" fontId="17" fillId="0" borderId="0" xfId="1" applyFont="1"/>
    <xf numFmtId="164" fontId="32" fillId="0" borderId="0" xfId="1" applyNumberFormat="1" applyFont="1"/>
    <xf numFmtId="164" fontId="35" fillId="0" borderId="0" xfId="1" applyNumberFormat="1" applyFont="1"/>
    <xf numFmtId="164" fontId="36" fillId="0" borderId="0" xfId="1" applyNumberFormat="1" applyFont="1"/>
    <xf numFmtId="43" fontId="26" fillId="0" borderId="0" xfId="1" applyFont="1"/>
    <xf numFmtId="164" fontId="35" fillId="3" borderId="0" xfId="1" applyNumberFormat="1" applyFont="1" applyFill="1"/>
    <xf numFmtId="3" fontId="37" fillId="0" borderId="0" xfId="0" applyNumberFormat="1" applyFont="1"/>
    <xf numFmtId="164" fontId="18" fillId="0" borderId="0" xfId="1" applyNumberFormat="1" applyFont="1"/>
    <xf numFmtId="0" fontId="5" fillId="2" borderId="3" xfId="0" applyFont="1" applyFill="1" applyBorder="1" applyAlignment="1">
      <alignment horizontal="center" vertical="center"/>
    </xf>
    <xf numFmtId="164" fontId="7" fillId="2" borderId="0" xfId="0" applyNumberFormat="1" applyFont="1" applyFill="1" applyAlignment="1">
      <alignment horizontal="justify" vertical="center"/>
    </xf>
    <xf numFmtId="3" fontId="38" fillId="2" borderId="3" xfId="4" applyNumberFormat="1" applyFont="1" applyFill="1" applyBorder="1" applyAlignment="1">
      <alignment vertical="center" wrapText="1"/>
    </xf>
    <xf numFmtId="0" fontId="5"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39" fillId="2" borderId="4" xfId="0" applyFont="1" applyFill="1" applyBorder="1" applyAlignment="1">
      <alignment vertical="center"/>
    </xf>
    <xf numFmtId="164" fontId="38" fillId="2" borderId="3" xfId="3" applyNumberFormat="1" applyFont="1" applyFill="1" applyBorder="1" applyAlignment="1">
      <alignment horizontal="center" vertical="center" wrapText="1"/>
    </xf>
    <xf numFmtId="3" fontId="38" fillId="2" borderId="3" xfId="4" applyNumberFormat="1" applyFont="1" applyFill="1" applyBorder="1" applyAlignment="1">
      <alignment horizontal="center" vertical="center" wrapText="1"/>
    </xf>
    <xf numFmtId="0" fontId="30" fillId="2" borderId="0" xfId="0" applyFont="1" applyFill="1" applyAlignment="1">
      <alignment horizontal="center" vertical="center"/>
    </xf>
    <xf numFmtId="0" fontId="38" fillId="2" borderId="0" xfId="0" applyFont="1" applyFill="1" applyAlignment="1">
      <alignment horizontal="center" vertical="center"/>
    </xf>
    <xf numFmtId="43" fontId="38" fillId="2" borderId="3" xfId="1" applyFont="1" applyFill="1" applyBorder="1" applyAlignment="1">
      <alignmen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166" fontId="30" fillId="2" borderId="0" xfId="0" applyNumberFormat="1" applyFont="1" applyFill="1" applyAlignment="1">
      <alignment vertical="center"/>
    </xf>
    <xf numFmtId="3" fontId="38" fillId="2" borderId="0" xfId="0" applyNumberFormat="1" applyFont="1" applyFill="1" applyAlignment="1">
      <alignment vertical="center"/>
    </xf>
    <xf numFmtId="0" fontId="38" fillId="2" borderId="3" xfId="4" applyFont="1" applyFill="1" applyBorder="1" applyAlignment="1">
      <alignment horizontal="center" vertical="center"/>
    </xf>
    <xf numFmtId="0" fontId="38" fillId="2" borderId="3" xfId="4" applyFont="1" applyFill="1" applyBorder="1" applyAlignment="1">
      <alignment horizontal="justify" vertical="center" wrapText="1"/>
    </xf>
    <xf numFmtId="164" fontId="38" fillId="2" borderId="3" xfId="5" applyNumberFormat="1" applyFont="1" applyFill="1" applyBorder="1" applyAlignment="1">
      <alignment vertical="center"/>
    </xf>
    <xf numFmtId="0" fontId="38" fillId="2" borderId="0" xfId="0" applyFont="1" applyFill="1" applyAlignment="1">
      <alignment vertical="center"/>
    </xf>
    <xf numFmtId="0" fontId="30" fillId="2" borderId="3" xfId="4" applyFont="1" applyFill="1" applyBorder="1" applyAlignment="1">
      <alignment horizontal="center" vertical="center"/>
    </xf>
    <xf numFmtId="0" fontId="30" fillId="2" borderId="3" xfId="4" applyFont="1" applyFill="1" applyBorder="1" applyAlignment="1">
      <alignment horizontal="justify" vertical="center" wrapText="1"/>
    </xf>
    <xf numFmtId="164" fontId="30" fillId="2" borderId="3" xfId="6" applyNumberFormat="1" applyFont="1" applyFill="1" applyBorder="1" applyAlignment="1">
      <alignment vertical="center" wrapText="1"/>
    </xf>
    <xf numFmtId="3" fontId="30" fillId="2" borderId="3" xfId="4" applyNumberFormat="1" applyFont="1" applyFill="1" applyBorder="1" applyAlignment="1">
      <alignment vertical="center" wrapText="1"/>
    </xf>
    <xf numFmtId="164" fontId="30" fillId="2" borderId="3" xfId="4" applyNumberFormat="1" applyFont="1" applyFill="1" applyBorder="1" applyAlignment="1">
      <alignment horizontal="center" vertical="center" wrapText="1"/>
    </xf>
    <xf numFmtId="43" fontId="30" fillId="2" borderId="3" xfId="1" applyFont="1" applyFill="1" applyBorder="1" applyAlignment="1">
      <alignment vertical="center" wrapText="1"/>
    </xf>
    <xf numFmtId="164" fontId="30" fillId="2" borderId="0" xfId="0" applyNumberFormat="1" applyFont="1" applyFill="1" applyAlignment="1">
      <alignment vertical="center"/>
    </xf>
    <xf numFmtId="0" fontId="38" fillId="2" borderId="3" xfId="7" applyFont="1" applyFill="1" applyBorder="1" applyAlignment="1">
      <alignment horizontal="center" vertical="center"/>
    </xf>
    <xf numFmtId="0" fontId="38" fillId="2" borderId="3" xfId="7" applyFont="1" applyFill="1" applyBorder="1" applyAlignment="1">
      <alignment vertical="center" wrapText="1"/>
    </xf>
    <xf numFmtId="164" fontId="38" fillId="2" borderId="3" xfId="3" applyNumberFormat="1" applyFont="1" applyFill="1" applyBorder="1" applyAlignment="1">
      <alignment vertical="center"/>
    </xf>
    <xf numFmtId="0" fontId="38" fillId="2" borderId="3" xfId="7" quotePrefix="1" applyFont="1" applyFill="1" applyBorder="1" applyAlignment="1">
      <alignment horizontal="center" vertical="center"/>
    </xf>
    <xf numFmtId="0" fontId="30" fillId="2" borderId="3" xfId="0" quotePrefix="1" applyFont="1" applyFill="1" applyBorder="1" applyAlignment="1">
      <alignment horizontal="center" vertical="center"/>
    </xf>
    <xf numFmtId="49" fontId="30" fillId="2" borderId="3" xfId="0" applyNumberFormat="1" applyFont="1" applyFill="1" applyBorder="1" applyAlignment="1">
      <alignment vertical="center" wrapText="1"/>
    </xf>
    <xf numFmtId="164" fontId="30" fillId="2" borderId="3" xfId="8" applyNumberFormat="1" applyFont="1" applyFill="1" applyBorder="1" applyAlignment="1">
      <alignment vertical="center" wrapText="1"/>
    </xf>
    <xf numFmtId="164" fontId="30" fillId="2" borderId="3" xfId="15" applyNumberFormat="1" applyFont="1" applyFill="1" applyBorder="1" applyAlignment="1">
      <alignment vertical="center" wrapText="1"/>
    </xf>
    <xf numFmtId="164" fontId="30" fillId="2" borderId="3" xfId="3" applyNumberFormat="1" applyFont="1" applyFill="1" applyBorder="1" applyAlignment="1">
      <alignment horizontal="left" vertical="center" wrapText="1"/>
    </xf>
    <xf numFmtId="164" fontId="30" fillId="2" borderId="3" xfId="1" applyNumberFormat="1" applyFont="1" applyFill="1" applyBorder="1" applyAlignment="1">
      <alignment vertical="center" wrapText="1"/>
    </xf>
    <xf numFmtId="49" fontId="30" fillId="2" borderId="3" xfId="0" quotePrefix="1" applyNumberFormat="1" applyFont="1" applyFill="1" applyBorder="1" applyAlignment="1">
      <alignment vertical="center" wrapText="1"/>
    </xf>
    <xf numFmtId="164" fontId="30" fillId="2" borderId="3" xfId="3" applyNumberFormat="1" applyFont="1" applyFill="1" applyBorder="1" applyAlignment="1">
      <alignment vertical="center"/>
    </xf>
    <xf numFmtId="0" fontId="39" fillId="2" borderId="3" xfId="4" applyFont="1" applyFill="1" applyBorder="1" applyAlignment="1">
      <alignment horizontal="center" vertical="center"/>
    </xf>
    <xf numFmtId="0" fontId="39" fillId="2" borderId="3" xfId="4" applyFont="1" applyFill="1" applyBorder="1" applyAlignment="1">
      <alignment horizontal="justify" vertical="center" wrapText="1"/>
    </xf>
    <xf numFmtId="3" fontId="39" fillId="2" borderId="3" xfId="4" applyNumberFormat="1" applyFont="1" applyFill="1" applyBorder="1" applyAlignment="1">
      <alignment vertical="center"/>
    </xf>
    <xf numFmtId="164" fontId="39" fillId="2" borderId="3" xfId="5" applyNumberFormat="1" applyFont="1" applyFill="1" applyBorder="1" applyAlignment="1">
      <alignment vertical="center" wrapText="1"/>
    </xf>
    <xf numFmtId="0" fontId="39" fillId="2" borderId="0" xfId="0" applyFont="1" applyFill="1" applyAlignment="1">
      <alignment vertical="center"/>
    </xf>
    <xf numFmtId="43" fontId="39" fillId="2" borderId="3" xfId="1" applyFont="1" applyFill="1" applyBorder="1" applyAlignment="1">
      <alignment vertical="center" wrapText="1"/>
    </xf>
    <xf numFmtId="0" fontId="38" fillId="2" borderId="3" xfId="0" applyFont="1" applyFill="1" applyBorder="1" applyAlignment="1">
      <alignment horizontal="center" vertical="center"/>
    </xf>
    <xf numFmtId="49" fontId="38" fillId="2" borderId="3" xfId="0" applyNumberFormat="1" applyFont="1" applyFill="1" applyBorder="1" applyAlignment="1">
      <alignment vertical="center" wrapText="1"/>
    </xf>
    <xf numFmtId="0" fontId="30" fillId="2" borderId="3" xfId="0" applyFont="1" applyFill="1" applyBorder="1" applyAlignment="1">
      <alignment horizontal="center" vertical="center"/>
    </xf>
    <xf numFmtId="164" fontId="30" fillId="2" borderId="1" xfId="3" applyNumberFormat="1" applyFont="1" applyFill="1" applyBorder="1" applyAlignment="1">
      <alignment horizontal="center" vertical="center" wrapText="1"/>
    </xf>
    <xf numFmtId="164" fontId="30" fillId="2" borderId="3" xfId="3" applyNumberFormat="1" applyFont="1" applyFill="1" applyBorder="1" applyAlignment="1">
      <alignment horizontal="center" vertical="center" wrapText="1"/>
    </xf>
    <xf numFmtId="164" fontId="30" fillId="2" borderId="2" xfId="3" applyNumberFormat="1" applyFont="1" applyFill="1" applyBorder="1" applyAlignment="1">
      <alignment horizontal="center" vertical="center" wrapText="1"/>
    </xf>
    <xf numFmtId="0" fontId="30" fillId="2" borderId="3" xfId="7" quotePrefix="1" applyFont="1" applyFill="1" applyBorder="1" applyAlignment="1">
      <alignment horizontal="center" vertical="center"/>
    </xf>
    <xf numFmtId="0" fontId="30" fillId="2" borderId="3" xfId="7" applyFont="1" applyFill="1" applyBorder="1" applyAlignment="1">
      <alignment vertical="center" wrapText="1"/>
    </xf>
    <xf numFmtId="3" fontId="38" fillId="2" borderId="3" xfId="9" applyNumberFormat="1" applyFont="1" applyFill="1" applyBorder="1" applyAlignment="1">
      <alignment vertical="center"/>
    </xf>
    <xf numFmtId="0" fontId="30" fillId="2" borderId="3" xfId="7" applyFont="1" applyFill="1" applyBorder="1" applyAlignment="1">
      <alignment horizontal="center" vertical="center"/>
    </xf>
    <xf numFmtId="164" fontId="38" fillId="2" borderId="0" xfId="0" applyNumberFormat="1" applyFont="1" applyFill="1" applyAlignment="1">
      <alignment vertical="center"/>
    </xf>
    <xf numFmtId="164" fontId="30" fillId="2" borderId="3" xfId="1" applyNumberFormat="1" applyFont="1" applyFill="1" applyBorder="1" applyAlignment="1">
      <alignment horizontal="left" vertical="center" wrapText="1"/>
    </xf>
    <xf numFmtId="164" fontId="38" fillId="2" borderId="3" xfId="1" applyNumberFormat="1" applyFont="1" applyFill="1" applyBorder="1" applyAlignment="1">
      <alignment vertical="center" wrapText="1"/>
    </xf>
    <xf numFmtId="164" fontId="30" fillId="2" borderId="3" xfId="1" applyNumberFormat="1" applyFont="1" applyFill="1" applyBorder="1" applyAlignment="1">
      <alignment shrinkToFit="1"/>
    </xf>
    <xf numFmtId="0" fontId="30" fillId="2" borderId="3" xfId="0" applyFont="1" applyFill="1" applyBorder="1"/>
    <xf numFmtId="0" fontId="30" fillId="2" borderId="3" xfId="0" applyFont="1" applyFill="1" applyBorder="1" applyAlignment="1">
      <alignment wrapText="1"/>
    </xf>
    <xf numFmtId="0" fontId="30" fillId="2" borderId="3" xfId="0" applyFont="1" applyFill="1" applyBorder="1" applyAlignment="1">
      <alignment horizontal="left" vertical="center" wrapText="1"/>
    </xf>
    <xf numFmtId="164" fontId="30" fillId="2" borderId="3" xfId="3" applyNumberFormat="1" applyFont="1" applyFill="1" applyBorder="1" applyAlignment="1">
      <alignment horizontal="center" vertical="center"/>
    </xf>
    <xf numFmtId="0" fontId="39" fillId="2" borderId="3" xfId="7" applyFont="1" applyFill="1" applyBorder="1" applyAlignment="1">
      <alignment horizontal="center" vertical="center"/>
    </xf>
    <xf numFmtId="0" fontId="39" fillId="2" borderId="3" xfId="7" applyFont="1" applyFill="1" applyBorder="1" applyAlignment="1">
      <alignment vertical="center" wrapText="1"/>
    </xf>
    <xf numFmtId="164" fontId="39" fillId="2" borderId="3" xfId="3" applyNumberFormat="1" applyFont="1" applyFill="1" applyBorder="1" applyAlignment="1">
      <alignment horizontal="left" vertical="center" wrapText="1"/>
    </xf>
    <xf numFmtId="164" fontId="38" fillId="2" borderId="3" xfId="3" applyNumberFormat="1" applyFont="1" applyFill="1" applyBorder="1" applyAlignment="1">
      <alignment horizontal="left" vertical="center" wrapText="1"/>
    </xf>
    <xf numFmtId="164" fontId="38" fillId="2" borderId="0" xfId="1" applyNumberFormat="1" applyFont="1" applyFill="1" applyAlignment="1">
      <alignment vertical="center"/>
    </xf>
    <xf numFmtId="164" fontId="38" fillId="2" borderId="1" xfId="3" applyNumberFormat="1" applyFont="1" applyFill="1" applyBorder="1" applyAlignment="1">
      <alignment horizontal="left" vertical="center" wrapText="1"/>
    </xf>
    <xf numFmtId="164" fontId="39" fillId="2" borderId="3" xfId="3" applyNumberFormat="1" applyFont="1" applyFill="1" applyBorder="1" applyAlignment="1">
      <alignment vertical="center"/>
    </xf>
    <xf numFmtId="164" fontId="39" fillId="2" borderId="1" xfId="3" applyNumberFormat="1" applyFont="1" applyFill="1" applyBorder="1" applyAlignment="1">
      <alignment horizontal="left" vertical="center" wrapText="1"/>
    </xf>
    <xf numFmtId="164" fontId="39" fillId="2" borderId="3" xfId="3" applyNumberFormat="1" applyFont="1" applyFill="1" applyBorder="1" applyAlignment="1">
      <alignment horizontal="center" vertical="center" wrapText="1"/>
    </xf>
    <xf numFmtId="43" fontId="40" fillId="2" borderId="3" xfId="1" applyFont="1" applyFill="1" applyBorder="1" applyAlignment="1">
      <alignment vertical="center" wrapText="1"/>
    </xf>
    <xf numFmtId="0" fontId="38" fillId="2" borderId="2" xfId="7" applyFont="1" applyFill="1" applyBorder="1" applyAlignment="1">
      <alignment horizontal="center" vertical="center"/>
    </xf>
    <xf numFmtId="0" fontId="38" fillId="2" borderId="2" xfId="16" applyFont="1" applyFill="1" applyBorder="1" applyAlignment="1">
      <alignment horizontal="justify" vertical="center" wrapText="1"/>
    </xf>
    <xf numFmtId="164" fontId="38" fillId="2" borderId="2" xfId="1" applyNumberFormat="1" applyFont="1" applyFill="1" applyBorder="1" applyAlignment="1">
      <alignment vertical="center"/>
    </xf>
    <xf numFmtId="43" fontId="38" fillId="2" borderId="2" xfId="1" applyFont="1" applyFill="1" applyBorder="1" applyAlignment="1">
      <alignment vertical="center" wrapText="1"/>
    </xf>
    <xf numFmtId="0" fontId="38" fillId="2" borderId="3" xfId="0" applyFont="1" applyFill="1" applyBorder="1" applyAlignment="1">
      <alignment horizontal="justify" vertical="center" wrapText="1"/>
    </xf>
    <xf numFmtId="1" fontId="38" fillId="2" borderId="3" xfId="0" applyNumberFormat="1" applyFont="1" applyFill="1" applyBorder="1" applyAlignment="1">
      <alignment vertical="center"/>
    </xf>
    <xf numFmtId="164" fontId="39" fillId="2" borderId="2" xfId="3" applyNumberFormat="1" applyFont="1" applyFill="1" applyBorder="1" applyAlignment="1">
      <alignment vertical="center" wrapText="1"/>
    </xf>
    <xf numFmtId="164" fontId="39" fillId="2" borderId="3" xfId="1" applyNumberFormat="1" applyFont="1" applyFill="1" applyBorder="1" applyAlignment="1">
      <alignment vertical="center" wrapText="1"/>
    </xf>
    <xf numFmtId="0" fontId="30" fillId="2" borderId="3" xfId="0" applyFont="1" applyFill="1" applyBorder="1" applyAlignment="1">
      <alignment vertical="center"/>
    </xf>
    <xf numFmtId="164" fontId="30" fillId="2" borderId="3" xfId="1" applyNumberFormat="1" applyFont="1" applyFill="1" applyBorder="1" applyAlignment="1">
      <alignment vertical="center"/>
    </xf>
    <xf numFmtId="0" fontId="6" fillId="2" borderId="3" xfId="0" applyFont="1" applyFill="1" applyBorder="1" applyAlignment="1">
      <alignment vertical="center" wrapText="1"/>
    </xf>
    <xf numFmtId="164" fontId="6" fillId="2" borderId="3" xfId="1" applyNumberFormat="1" applyFont="1" applyFill="1" applyBorder="1" applyAlignment="1">
      <alignment vertical="center"/>
    </xf>
    <xf numFmtId="0" fontId="6" fillId="2" borderId="3" xfId="0" applyFont="1" applyFill="1" applyBorder="1" applyAlignment="1">
      <alignment vertical="center"/>
    </xf>
    <xf numFmtId="43" fontId="6" fillId="2" borderId="3" xfId="1" applyFont="1" applyFill="1" applyBorder="1" applyAlignment="1">
      <alignment vertical="center"/>
    </xf>
    <xf numFmtId="43" fontId="6" fillId="2" borderId="3" xfId="1" applyFont="1" applyFill="1" applyBorder="1" applyAlignment="1">
      <alignment vertical="center" wrapText="1"/>
    </xf>
    <xf numFmtId="1" fontId="6" fillId="2" borderId="3" xfId="0" applyNumberFormat="1" applyFont="1" applyFill="1" applyBorder="1" applyAlignment="1">
      <alignment vertical="center"/>
    </xf>
    <xf numFmtId="0" fontId="38" fillId="2" borderId="3" xfId="0" applyFont="1" applyFill="1" applyBorder="1" applyAlignment="1">
      <alignment vertical="center"/>
    </xf>
    <xf numFmtId="164" fontId="38" fillId="2" borderId="3" xfId="1" applyNumberFormat="1" applyFont="1" applyFill="1" applyBorder="1" applyAlignment="1">
      <alignment vertical="center"/>
    </xf>
    <xf numFmtId="0" fontId="30" fillId="2" borderId="0" xfId="7" applyFont="1" applyFill="1" applyAlignment="1">
      <alignment horizontal="center" vertical="center"/>
    </xf>
    <xf numFmtId="164" fontId="30" fillId="2" borderId="0" xfId="3" applyNumberFormat="1" applyFont="1" applyFill="1" applyBorder="1" applyAlignment="1">
      <alignment horizontal="left" vertical="center" wrapText="1"/>
    </xf>
    <xf numFmtId="43" fontId="6" fillId="2" borderId="0" xfId="1" applyFont="1" applyFill="1" applyBorder="1" applyAlignment="1">
      <alignment vertical="center"/>
    </xf>
    <xf numFmtId="43" fontId="30" fillId="2" borderId="0" xfId="1" applyFont="1" applyFill="1" applyBorder="1" applyAlignment="1">
      <alignment vertical="center" wrapText="1"/>
    </xf>
    <xf numFmtId="164" fontId="6" fillId="2" borderId="0" xfId="3" applyNumberFormat="1" applyFont="1" applyFill="1" applyAlignment="1">
      <alignment vertical="center"/>
    </xf>
    <xf numFmtId="2" fontId="6" fillId="2" borderId="0" xfId="0" applyNumberFormat="1" applyFont="1" applyFill="1" applyAlignment="1">
      <alignment horizontal="justify" vertical="center"/>
    </xf>
    <xf numFmtId="164" fontId="6" fillId="2" borderId="0" xfId="0" applyNumberFormat="1" applyFont="1" applyFill="1" applyAlignment="1">
      <alignment vertical="center"/>
    </xf>
    <xf numFmtId="0" fontId="19" fillId="0" borderId="0" xfId="0" applyFont="1"/>
    <xf numFmtId="0" fontId="12" fillId="0" borderId="0" xfId="0" applyFont="1" applyAlignment="1">
      <alignment horizontal="center"/>
    </xf>
    <xf numFmtId="0" fontId="19" fillId="0" borderId="0" xfId="0" applyFont="1" applyAlignment="1">
      <alignment vertical="center"/>
    </xf>
    <xf numFmtId="0" fontId="12" fillId="0" borderId="0" xfId="0" applyFont="1" applyAlignment="1">
      <alignment vertical="center"/>
    </xf>
    <xf numFmtId="164" fontId="19" fillId="0" borderId="0" xfId="0" applyNumberFormat="1" applyFont="1" applyAlignment="1">
      <alignment vertical="center"/>
    </xf>
    <xf numFmtId="164" fontId="19" fillId="0" borderId="0" xfId="0" applyNumberFormat="1" applyFont="1"/>
    <xf numFmtId="0" fontId="18" fillId="0" borderId="3" xfId="0" applyFont="1" applyBorder="1" applyAlignment="1">
      <alignment horizontal="center"/>
    </xf>
    <xf numFmtId="0" fontId="18" fillId="0" borderId="3" xfId="0" applyFont="1" applyBorder="1" applyAlignment="1">
      <alignment vertical="center" wrapText="1"/>
    </xf>
    <xf numFmtId="164" fontId="18" fillId="0" borderId="3" xfId="1" applyNumberFormat="1" applyFont="1" applyBorder="1" applyAlignment="1">
      <alignment vertical="center"/>
    </xf>
    <xf numFmtId="0" fontId="17" fillId="0" borderId="3" xfId="0" applyFont="1" applyBorder="1" applyAlignment="1">
      <alignment vertical="center" wrapText="1"/>
    </xf>
    <xf numFmtId="164" fontId="17" fillId="0" borderId="3" xfId="1" applyNumberFormat="1" applyFont="1" applyBorder="1" applyAlignment="1">
      <alignment vertical="center"/>
    </xf>
    <xf numFmtId="0" fontId="18" fillId="0" borderId="3" xfId="0" applyFont="1" applyBorder="1" applyAlignment="1">
      <alignment horizontal="center" vertical="center" wrapText="1"/>
    </xf>
    <xf numFmtId="0" fontId="18" fillId="0" borderId="3" xfId="0" applyFont="1" applyBorder="1" applyAlignment="1">
      <alignment vertical="center"/>
    </xf>
    <xf numFmtId="0" fontId="5" fillId="2" borderId="3" xfId="0" applyFont="1" applyFill="1" applyBorder="1" applyAlignment="1">
      <alignment horizontal="center" vertical="center" wrapText="1"/>
    </xf>
    <xf numFmtId="164" fontId="5" fillId="2" borderId="5" xfId="1" applyNumberFormat="1" applyFont="1" applyFill="1" applyBorder="1" applyAlignment="1">
      <alignment horizontal="center" vertical="center" wrapText="1"/>
    </xf>
    <xf numFmtId="0" fontId="5" fillId="2" borderId="6" xfId="0" applyFont="1" applyFill="1" applyBorder="1" applyAlignment="1">
      <alignment horizontal="justify" vertical="center" wrapText="1"/>
    </xf>
    <xf numFmtId="164" fontId="5" fillId="2" borderId="3" xfId="1" applyNumberFormat="1" applyFont="1" applyFill="1" applyBorder="1" applyAlignment="1">
      <alignment vertical="center" wrapText="1"/>
    </xf>
    <xf numFmtId="0" fontId="6" fillId="2" borderId="3" xfId="0" applyFont="1" applyFill="1" applyBorder="1" applyAlignment="1">
      <alignment horizontal="justify" vertical="center"/>
    </xf>
    <xf numFmtId="164" fontId="6" fillId="2" borderId="3" xfId="0" applyNumberFormat="1" applyFont="1" applyFill="1" applyBorder="1" applyAlignment="1">
      <alignment vertical="center"/>
    </xf>
    <xf numFmtId="3" fontId="6" fillId="2" borderId="3" xfId="0" applyNumberFormat="1" applyFont="1" applyFill="1" applyBorder="1" applyAlignment="1">
      <alignment vertical="center"/>
    </xf>
    <xf numFmtId="0" fontId="6" fillId="2" borderId="3" xfId="0" applyFont="1" applyFill="1" applyBorder="1" applyAlignment="1">
      <alignment horizontal="justify" vertical="center" wrapText="1"/>
    </xf>
    <xf numFmtId="164" fontId="6" fillId="2" borderId="3" xfId="0" applyNumberFormat="1" applyFont="1" applyFill="1" applyBorder="1" applyAlignment="1">
      <alignment vertical="center" wrapText="1"/>
    </xf>
    <xf numFmtId="0" fontId="6" fillId="2" borderId="3" xfId="18" applyFont="1" applyFill="1" applyBorder="1" applyAlignment="1">
      <alignment horizontal="justify" vertical="center" wrapText="1"/>
    </xf>
    <xf numFmtId="164" fontId="6" fillId="2" borderId="3" xfId="18" applyNumberFormat="1" applyFont="1" applyFill="1" applyBorder="1" applyAlignment="1">
      <alignment vertical="center" wrapText="1"/>
    </xf>
    <xf numFmtId="0" fontId="6" fillId="2" borderId="3" xfId="19" applyFont="1" applyFill="1" applyBorder="1" applyAlignment="1">
      <alignment horizontal="justify" vertical="center" wrapText="1"/>
    </xf>
    <xf numFmtId="164" fontId="6" fillId="2" borderId="3" xfId="19" applyNumberFormat="1" applyFont="1" applyFill="1" applyBorder="1" applyAlignment="1">
      <alignment vertical="center" wrapText="1"/>
    </xf>
    <xf numFmtId="164" fontId="6" fillId="2" borderId="3" xfId="1" applyNumberFormat="1" applyFont="1" applyFill="1" applyBorder="1" applyAlignment="1">
      <alignment vertical="center" wrapText="1"/>
    </xf>
    <xf numFmtId="0" fontId="5" fillId="2" borderId="6" xfId="16" applyFont="1" applyFill="1" applyBorder="1" applyAlignment="1">
      <alignment horizontal="justify" vertical="center" wrapText="1"/>
    </xf>
    <xf numFmtId="164" fontId="5" fillId="2" borderId="3" xfId="1" applyNumberFormat="1" applyFont="1" applyFill="1" applyBorder="1" applyAlignment="1">
      <alignment vertical="center"/>
    </xf>
    <xf numFmtId="0" fontId="5" fillId="2" borderId="3" xfId="0" applyFont="1" applyFill="1" applyBorder="1" applyAlignment="1">
      <alignment horizontal="justify" vertical="center" wrapText="1"/>
    </xf>
    <xf numFmtId="0" fontId="7" fillId="2" borderId="3" xfId="0" applyFont="1" applyFill="1" applyBorder="1" applyAlignment="1">
      <alignment horizontal="center" vertical="center"/>
    </xf>
    <xf numFmtId="0" fontId="7" fillId="2" borderId="3" xfId="0" applyFont="1" applyFill="1" applyBorder="1" applyAlignment="1">
      <alignment horizontal="justify" vertical="center" wrapText="1"/>
    </xf>
    <xf numFmtId="164" fontId="7" fillId="2" borderId="3" xfId="1" applyNumberFormat="1" applyFont="1" applyFill="1" applyBorder="1" applyAlignment="1">
      <alignment vertical="center"/>
    </xf>
    <xf numFmtId="0" fontId="7" fillId="2" borderId="3" xfId="0" applyFont="1" applyFill="1" applyBorder="1" applyAlignment="1">
      <alignment vertical="center"/>
    </xf>
    <xf numFmtId="1" fontId="7" fillId="2" borderId="3" xfId="0" applyNumberFormat="1" applyFont="1" applyFill="1" applyBorder="1" applyAlignment="1">
      <alignment vertical="center"/>
    </xf>
    <xf numFmtId="41" fontId="6" fillId="2" borderId="3" xfId="17" applyFont="1" applyFill="1" applyBorder="1" applyAlignment="1">
      <alignment vertical="center" wrapText="1"/>
    </xf>
    <xf numFmtId="0" fontId="6" fillId="2" borderId="3" xfId="0" quotePrefix="1" applyFont="1" applyFill="1" applyBorder="1" applyAlignment="1">
      <alignment horizontal="justify" vertical="center" wrapText="1"/>
    </xf>
    <xf numFmtId="0" fontId="7" fillId="2" borderId="3" xfId="0" quotePrefix="1" applyFont="1" applyFill="1" applyBorder="1" applyAlignment="1">
      <alignment horizontal="justify" vertical="center"/>
    </xf>
    <xf numFmtId="41" fontId="7" fillId="2" borderId="3" xfId="17" applyFont="1" applyFill="1" applyBorder="1" applyAlignment="1">
      <alignment vertical="center"/>
    </xf>
    <xf numFmtId="0" fontId="7" fillId="2" borderId="3" xfId="0" quotePrefix="1" applyFont="1" applyFill="1" applyBorder="1" applyAlignment="1">
      <alignment horizontal="justify" vertical="center" wrapText="1"/>
    </xf>
    <xf numFmtId="41" fontId="7" fillId="2" borderId="3" xfId="17" applyFont="1" applyFill="1" applyBorder="1" applyAlignment="1">
      <alignment vertical="center" wrapText="1"/>
    </xf>
    <xf numFmtId="164" fontId="5" fillId="2" borderId="3" xfId="0" applyNumberFormat="1" applyFont="1" applyFill="1" applyBorder="1" applyAlignment="1">
      <alignment vertical="center"/>
    </xf>
    <xf numFmtId="3" fontId="6" fillId="2" borderId="3" xfId="20" applyFill="1" applyBorder="1" applyAlignment="1">
      <alignment horizontal="justify" vertical="center"/>
    </xf>
    <xf numFmtId="3" fontId="6" fillId="2" borderId="3" xfId="0" applyNumberFormat="1" applyFont="1" applyFill="1" applyBorder="1" applyAlignment="1">
      <alignment horizontal="justify" vertical="center" wrapText="1"/>
    </xf>
    <xf numFmtId="3" fontId="5" fillId="0" borderId="0" xfId="0" applyNumberFormat="1" applyFont="1" applyAlignment="1">
      <alignment horizontal="center" vertical="center" wrapText="1"/>
    </xf>
    <xf numFmtId="164" fontId="6" fillId="0" borderId="0" xfId="1" applyNumberFormat="1" applyFont="1" applyFill="1" applyAlignment="1">
      <alignment horizontal="center" vertical="center"/>
    </xf>
    <xf numFmtId="167" fontId="43" fillId="0" borderId="0" xfId="1" applyNumberFormat="1" applyFont="1" applyFill="1" applyAlignment="1">
      <alignment horizontal="center" vertical="center"/>
    </xf>
    <xf numFmtId="3" fontId="6" fillId="0" borderId="0" xfId="0" applyNumberFormat="1" applyFont="1" applyAlignment="1">
      <alignment horizontal="justify" vertical="center"/>
    </xf>
    <xf numFmtId="164" fontId="6" fillId="0" borderId="0" xfId="1" applyNumberFormat="1" applyFont="1" applyAlignment="1">
      <alignment horizontal="justify" vertical="center"/>
    </xf>
    <xf numFmtId="167" fontId="6" fillId="0" borderId="0" xfId="1" applyNumberFormat="1" applyFont="1" applyFill="1" applyAlignment="1">
      <alignment horizontal="center" vertical="center"/>
    </xf>
    <xf numFmtId="3" fontId="7" fillId="0" borderId="0" xfId="0" applyNumberFormat="1" applyFont="1" applyAlignment="1">
      <alignment horizontal="center" vertical="center" wrapText="1"/>
    </xf>
    <xf numFmtId="164" fontId="7" fillId="0" borderId="0" xfId="1" applyNumberFormat="1" applyFont="1" applyFill="1" applyAlignment="1">
      <alignment horizontal="center" vertical="center" wrapText="1"/>
    </xf>
    <xf numFmtId="3" fontId="7" fillId="0" borderId="0" xfId="0" applyNumberFormat="1" applyFont="1" applyAlignment="1">
      <alignment vertical="center" wrapText="1"/>
    </xf>
    <xf numFmtId="0" fontId="38" fillId="0" borderId="0" xfId="0" applyFont="1" applyAlignment="1">
      <alignment horizontal="justify" vertical="center"/>
    </xf>
    <xf numFmtId="0" fontId="38" fillId="0" borderId="3" xfId="11" applyFont="1" applyBorder="1" applyAlignment="1">
      <alignment horizontal="center" vertical="center"/>
    </xf>
    <xf numFmtId="0" fontId="38" fillId="0" borderId="3" xfId="11" applyFont="1" applyBorder="1" applyAlignment="1">
      <alignment horizontal="justify" vertical="center"/>
    </xf>
    <xf numFmtId="164" fontId="38" fillId="0" borderId="3" xfId="1" applyNumberFormat="1" applyFont="1" applyFill="1" applyBorder="1" applyAlignment="1">
      <alignment horizontal="justify" vertical="center"/>
    </xf>
    <xf numFmtId="164" fontId="38" fillId="4" borderId="3" xfId="1" applyNumberFormat="1" applyFont="1" applyFill="1" applyBorder="1" applyAlignment="1">
      <alignment horizontal="justify" vertical="center"/>
    </xf>
    <xf numFmtId="0" fontId="30" fillId="0" borderId="0" xfId="0" applyFont="1" applyAlignment="1">
      <alignment horizontal="justify" vertical="center"/>
    </xf>
    <xf numFmtId="0" fontId="30" fillId="0" borderId="3" xfId="11" applyFont="1" applyBorder="1" applyAlignment="1">
      <alignment horizontal="center" vertical="center"/>
    </xf>
    <xf numFmtId="0" fontId="30" fillId="0" borderId="3" xfId="11" applyFont="1" applyBorder="1" applyAlignment="1">
      <alignment horizontal="justify" vertical="center"/>
    </xf>
    <xf numFmtId="164" fontId="30" fillId="0" borderId="3" xfId="1" applyNumberFormat="1" applyFont="1" applyFill="1" applyBorder="1" applyAlignment="1">
      <alignment horizontal="justify" vertical="center"/>
    </xf>
    <xf numFmtId="164" fontId="30" fillId="4" borderId="3" xfId="1" applyNumberFormat="1" applyFont="1" applyFill="1" applyBorder="1" applyAlignment="1">
      <alignment horizontal="justify" vertical="center"/>
    </xf>
    <xf numFmtId="164" fontId="30" fillId="0" borderId="3" xfId="1" applyNumberFormat="1" applyFont="1" applyBorder="1" applyAlignment="1">
      <alignment horizontal="justify" vertical="center"/>
    </xf>
    <xf numFmtId="164" fontId="30" fillId="0" borderId="3" xfId="0" applyNumberFormat="1" applyFont="1" applyBorder="1" applyAlignment="1">
      <alignment horizontal="justify" vertical="center"/>
    </xf>
    <xf numFmtId="0" fontId="30" fillId="0" borderId="3" xfId="0" applyFont="1" applyBorder="1" applyAlignment="1">
      <alignment horizontal="justify" vertical="center"/>
    </xf>
    <xf numFmtId="164" fontId="30" fillId="0" borderId="0" xfId="0" applyNumberFormat="1" applyFont="1" applyAlignment="1">
      <alignment horizontal="justify" vertical="center"/>
    </xf>
    <xf numFmtId="0" fontId="38" fillId="0" borderId="3" xfId="0" applyFont="1" applyBorder="1" applyAlignment="1">
      <alignment horizontal="justify" vertical="center"/>
    </xf>
    <xf numFmtId="164" fontId="30" fillId="2" borderId="3" xfId="1" applyNumberFormat="1" applyFont="1" applyFill="1" applyBorder="1" applyAlignment="1">
      <alignment horizontal="justify" vertical="center"/>
    </xf>
    <xf numFmtId="164" fontId="30" fillId="0" borderId="3" xfId="1" applyNumberFormat="1" applyFont="1" applyBorder="1" applyAlignment="1">
      <alignment horizontal="right" vertical="center"/>
    </xf>
    <xf numFmtId="0" fontId="38" fillId="0" borderId="3" xfId="0" applyFont="1" applyBorder="1" applyAlignment="1">
      <alignment horizontal="center" vertical="center"/>
    </xf>
    <xf numFmtId="0" fontId="38" fillId="0" borderId="3" xfId="12" applyFont="1" applyBorder="1" applyAlignment="1">
      <alignment horizontal="justify" vertical="center" wrapText="1"/>
    </xf>
    <xf numFmtId="164" fontId="38" fillId="0" borderId="3" xfId="1" applyNumberFormat="1" applyFont="1" applyFill="1" applyBorder="1" applyAlignment="1">
      <alignment horizontal="justify" vertical="center" wrapText="1"/>
    </xf>
    <xf numFmtId="0" fontId="30" fillId="2" borderId="3" xfId="12" applyFont="1" applyFill="1" applyBorder="1" applyAlignment="1">
      <alignment horizontal="justify" vertical="center" wrapText="1"/>
    </xf>
    <xf numFmtId="164" fontId="30" fillId="2" borderId="3" xfId="1" applyNumberFormat="1" applyFont="1" applyFill="1" applyBorder="1" applyAlignment="1">
      <alignment horizontal="justify" vertical="center" wrapText="1"/>
    </xf>
    <xf numFmtId="164" fontId="30" fillId="2" borderId="3" xfId="21" applyNumberFormat="1" applyFont="1" applyFill="1" applyBorder="1" applyAlignment="1">
      <alignment horizontal="right" vertical="center" wrapText="1"/>
    </xf>
    <xf numFmtId="164" fontId="30" fillId="2" borderId="3" xfId="21" applyNumberFormat="1" applyFont="1" applyFill="1" applyBorder="1" applyAlignment="1">
      <alignment vertical="center" wrapText="1"/>
    </xf>
    <xf numFmtId="164" fontId="30" fillId="2" borderId="3" xfId="21" applyNumberFormat="1" applyFont="1" applyFill="1" applyBorder="1" applyAlignment="1">
      <alignment horizontal="justify" vertical="center" wrapText="1"/>
    </xf>
    <xf numFmtId="3" fontId="30" fillId="2" borderId="3" xfId="21" applyNumberFormat="1" applyFont="1" applyFill="1" applyBorder="1" applyAlignment="1">
      <alignment horizontal="right" vertical="center" wrapText="1"/>
    </xf>
    <xf numFmtId="164" fontId="30" fillId="2" borderId="3" xfId="1" applyNumberFormat="1" applyFont="1" applyFill="1" applyBorder="1" applyAlignment="1">
      <alignment horizontal="right" vertical="center"/>
    </xf>
    <xf numFmtId="0" fontId="38" fillId="2" borderId="3" xfId="0" applyFont="1" applyFill="1" applyBorder="1" applyAlignment="1">
      <alignment horizontal="justify" vertical="center"/>
    </xf>
    <xf numFmtId="0" fontId="38" fillId="2" borderId="0" xfId="0" applyFont="1" applyFill="1" applyAlignment="1">
      <alignment horizontal="justify" vertical="center"/>
    </xf>
    <xf numFmtId="0" fontId="30" fillId="2" borderId="3" xfId="0" applyFont="1" applyFill="1" applyBorder="1" applyAlignment="1">
      <alignment horizontal="justify" vertical="center"/>
    </xf>
    <xf numFmtId="3" fontId="30" fillId="2" borderId="3" xfId="0" applyNumberFormat="1" applyFont="1" applyFill="1" applyBorder="1" applyAlignment="1">
      <alignment horizontal="right" vertical="center"/>
    </xf>
    <xf numFmtId="3" fontId="30" fillId="2" borderId="3" xfId="0" applyNumberFormat="1" applyFont="1" applyFill="1" applyBorder="1" applyAlignment="1">
      <alignment vertical="center"/>
    </xf>
    <xf numFmtId="3" fontId="30" fillId="2" borderId="3" xfId="1" applyNumberFormat="1" applyFont="1" applyFill="1" applyBorder="1" applyAlignment="1">
      <alignment horizontal="right" vertical="center"/>
    </xf>
    <xf numFmtId="164" fontId="30" fillId="2" borderId="3" xfId="1" applyNumberFormat="1" applyFont="1" applyFill="1" applyBorder="1" applyAlignment="1">
      <alignment horizontal="center" vertical="center"/>
    </xf>
    <xf numFmtId="0" fontId="30" fillId="2" borderId="0" xfId="0" applyFont="1" applyFill="1" applyAlignment="1">
      <alignment horizontal="justify" vertical="center"/>
    </xf>
    <xf numFmtId="0" fontId="30" fillId="0" borderId="3" xfId="0" applyFont="1" applyBorder="1" applyAlignment="1">
      <alignment horizontal="center" vertical="center"/>
    </xf>
    <xf numFmtId="164" fontId="30" fillId="0" borderId="3" xfId="13" applyNumberFormat="1" applyFont="1" applyFill="1" applyBorder="1" applyAlignment="1">
      <alignment horizontal="justify" vertical="center" wrapText="1"/>
    </xf>
    <xf numFmtId="164" fontId="30" fillId="0" borderId="3" xfId="1" applyNumberFormat="1" applyFont="1" applyFill="1" applyBorder="1" applyAlignment="1">
      <alignment horizontal="justify" vertical="center" wrapText="1"/>
    </xf>
    <xf numFmtId="164" fontId="30" fillId="0" borderId="3" xfId="1" applyNumberFormat="1" applyFont="1" applyFill="1" applyBorder="1" applyAlignment="1">
      <alignment horizontal="right" vertical="center"/>
    </xf>
    <xf numFmtId="164" fontId="30" fillId="0" borderId="3" xfId="1" applyNumberFormat="1" applyFont="1" applyBorder="1" applyAlignment="1">
      <alignment vertical="center"/>
    </xf>
    <xf numFmtId="0" fontId="30" fillId="0" borderId="3" xfId="0" applyFont="1" applyBorder="1" applyAlignment="1">
      <alignment horizontal="justify" vertical="center" wrapText="1"/>
    </xf>
    <xf numFmtId="164" fontId="30" fillId="0" borderId="3" xfId="1" quotePrefix="1" applyNumberFormat="1" applyFont="1" applyFill="1" applyBorder="1" applyAlignment="1">
      <alignment horizontal="justify" vertical="center" wrapText="1"/>
    </xf>
    <xf numFmtId="37" fontId="30" fillId="0" borderId="3" xfId="1" quotePrefix="1" applyNumberFormat="1" applyFont="1" applyFill="1" applyBorder="1" applyAlignment="1">
      <alignment vertical="center" wrapText="1"/>
    </xf>
    <xf numFmtId="3" fontId="30" fillId="0" borderId="3" xfId="0" applyNumberFormat="1" applyFont="1" applyBorder="1" applyAlignment="1">
      <alignment vertical="center"/>
    </xf>
    <xf numFmtId="0" fontId="38" fillId="0" borderId="3" xfId="0" applyFont="1" applyBorder="1" applyAlignment="1">
      <alignment horizontal="justify" vertical="center" wrapText="1"/>
    </xf>
    <xf numFmtId="0" fontId="30" fillId="0" borderId="3" xfId="0" applyFont="1" applyBorder="1" applyAlignment="1">
      <alignment wrapText="1"/>
    </xf>
    <xf numFmtId="0" fontId="30" fillId="0" borderId="3" xfId="0" applyFont="1" applyBorder="1" applyAlignment="1">
      <alignment horizontal="right" vertical="center"/>
    </xf>
    <xf numFmtId="0" fontId="6" fillId="0" borderId="0" xfId="0" applyFont="1" applyAlignment="1">
      <alignment horizontal="center" vertical="center"/>
    </xf>
    <xf numFmtId="0" fontId="6" fillId="0" borderId="0" xfId="0" applyFont="1" applyAlignment="1">
      <alignment horizontal="justify" vertical="center" wrapText="1"/>
    </xf>
    <xf numFmtId="164" fontId="6" fillId="0" borderId="0" xfId="1" applyNumberFormat="1" applyFont="1" applyFill="1" applyBorder="1" applyAlignment="1">
      <alignment horizontal="justify" vertical="center"/>
    </xf>
    <xf numFmtId="3" fontId="6" fillId="0" borderId="0" xfId="0" applyNumberFormat="1" applyFont="1" applyAlignment="1">
      <alignment vertical="center"/>
    </xf>
    <xf numFmtId="164" fontId="6" fillId="0" borderId="0" xfId="1" applyNumberFormat="1" applyFont="1" applyBorder="1" applyAlignment="1">
      <alignment horizontal="justify" vertical="center"/>
    </xf>
    <xf numFmtId="164" fontId="6" fillId="0" borderId="0" xfId="0" applyNumberFormat="1" applyFont="1" applyAlignment="1">
      <alignment horizontal="justify" vertical="center"/>
    </xf>
    <xf numFmtId="0" fontId="6" fillId="0" borderId="0" xfId="0" applyFont="1" applyAlignment="1">
      <alignment horizontal="justify" vertical="center"/>
    </xf>
    <xf numFmtId="164" fontId="6" fillId="0" borderId="0" xfId="0" applyNumberFormat="1" applyFont="1" applyAlignment="1">
      <alignment vertical="center"/>
    </xf>
    <xf numFmtId="0" fontId="5" fillId="0" borderId="0" xfId="0" applyFont="1" applyAlignment="1">
      <alignment vertical="center"/>
    </xf>
    <xf numFmtId="164" fontId="38" fillId="2" borderId="3" xfId="1" applyNumberFormat="1" applyFont="1" applyFill="1" applyBorder="1" applyAlignment="1">
      <alignment horizontal="justify" vertical="center"/>
    </xf>
    <xf numFmtId="168" fontId="6" fillId="0" borderId="0" xfId="0" applyNumberFormat="1" applyFont="1" applyAlignment="1">
      <alignment horizontal="justify" vertical="center"/>
    </xf>
    <xf numFmtId="168" fontId="7" fillId="0" borderId="0" xfId="0" applyNumberFormat="1" applyFont="1" applyAlignment="1">
      <alignment horizontal="center" vertical="center" wrapText="1"/>
    </xf>
    <xf numFmtId="168" fontId="6" fillId="0" borderId="0" xfId="0" applyNumberFormat="1" applyFont="1" applyAlignment="1">
      <alignment horizontal="center" vertical="center"/>
    </xf>
    <xf numFmtId="3" fontId="6" fillId="0" borderId="0" xfId="0" applyNumberFormat="1" applyFont="1" applyAlignment="1">
      <alignment horizontal="right" vertical="center"/>
    </xf>
    <xf numFmtId="3" fontId="7" fillId="0" borderId="0" xfId="0" applyNumberFormat="1" applyFont="1" applyAlignment="1">
      <alignment horizontal="right" vertical="center" wrapText="1"/>
    </xf>
    <xf numFmtId="3" fontId="38" fillId="0" borderId="3" xfId="1" applyNumberFormat="1" applyFont="1" applyFill="1" applyBorder="1" applyAlignment="1">
      <alignment horizontal="right" vertical="center"/>
    </xf>
    <xf numFmtId="3" fontId="30" fillId="0" borderId="3" xfId="0" applyNumberFormat="1" applyFont="1" applyBorder="1" applyAlignment="1">
      <alignment horizontal="right" vertical="center"/>
    </xf>
    <xf numFmtId="3" fontId="38" fillId="0" borderId="3" xfId="0" applyNumberFormat="1" applyFont="1" applyBorder="1" applyAlignment="1">
      <alignment horizontal="right" vertical="center"/>
    </xf>
    <xf numFmtId="3" fontId="38" fillId="2" borderId="3" xfId="0" applyNumberFormat="1" applyFont="1" applyFill="1" applyBorder="1" applyAlignment="1">
      <alignment horizontal="right" vertical="center"/>
    </xf>
    <xf numFmtId="43" fontId="38" fillId="0" borderId="3" xfId="1" applyFont="1" applyFill="1" applyBorder="1" applyAlignment="1">
      <alignment horizontal="right" vertical="center" wrapText="1"/>
    </xf>
    <xf numFmtId="43" fontId="38" fillId="0" borderId="3" xfId="1" applyFont="1" applyFill="1" applyBorder="1" applyAlignment="1">
      <alignment horizontal="right" vertical="center"/>
    </xf>
    <xf numFmtId="3" fontId="6" fillId="2" borderId="3" xfId="2" applyFill="1" applyBorder="1" applyAlignment="1">
      <alignment horizontal="center" vertical="center" wrapText="1"/>
    </xf>
    <xf numFmtId="3" fontId="6" fillId="2" borderId="3" xfId="2" applyFill="1" applyBorder="1" applyAlignment="1">
      <alignment horizontal="left" vertical="center" wrapText="1"/>
    </xf>
    <xf numFmtId="3" fontId="6" fillId="2" borderId="0" xfId="0" applyNumberFormat="1" applyFont="1" applyFill="1" applyAlignment="1">
      <alignment horizontal="justify" vertical="center"/>
    </xf>
    <xf numFmtId="3" fontId="45" fillId="2" borderId="0" xfId="0" applyNumberFormat="1" applyFont="1" applyFill="1" applyAlignment="1">
      <alignment horizontal="right" vertical="center" wrapText="1"/>
    </xf>
    <xf numFmtId="3" fontId="41" fillId="2" borderId="0" xfId="0" applyNumberFormat="1" applyFont="1" applyFill="1"/>
    <xf numFmtId="3" fontId="30" fillId="2" borderId="3" xfId="3" applyNumberFormat="1" applyFont="1" applyFill="1" applyBorder="1" applyAlignment="1">
      <alignment vertical="center"/>
    </xf>
    <xf numFmtId="164" fontId="30" fillId="2" borderId="3" xfId="1" applyNumberFormat="1" applyFont="1" applyFill="1" applyBorder="1" applyAlignment="1"/>
    <xf numFmtId="164" fontId="5" fillId="2" borderId="0" xfId="0" applyNumberFormat="1" applyFont="1" applyFill="1" applyAlignment="1">
      <alignment vertical="center"/>
    </xf>
    <xf numFmtId="4" fontId="30" fillId="2" borderId="0" xfId="0" applyNumberFormat="1" applyFont="1" applyFill="1" applyAlignment="1">
      <alignment vertical="center"/>
    </xf>
    <xf numFmtId="3" fontId="27" fillId="2" borderId="0" xfId="0" applyNumberFormat="1" applyFont="1" applyFill="1" applyAlignment="1">
      <alignment horizontal="right" vertical="center" wrapText="1"/>
    </xf>
    <xf numFmtId="164" fontId="43" fillId="2" borderId="0" xfId="1" applyNumberFormat="1" applyFont="1" applyFill="1" applyAlignment="1">
      <alignment vertical="center"/>
    </xf>
    <xf numFmtId="164" fontId="6" fillId="2" borderId="0" xfId="1" applyNumberFormat="1" applyFont="1" applyFill="1" applyAlignment="1">
      <alignment horizontal="center" vertical="center"/>
    </xf>
    <xf numFmtId="164" fontId="5" fillId="2" borderId="3" xfId="1" applyNumberFormat="1" applyFont="1" applyFill="1" applyBorder="1" applyAlignment="1">
      <alignment horizontal="center" vertical="center" wrapText="1"/>
    </xf>
    <xf numFmtId="0" fontId="5" fillId="2" borderId="3" xfId="0" applyFont="1" applyFill="1" applyBorder="1" applyAlignment="1">
      <alignment horizontal="center" vertical="center"/>
    </xf>
    <xf numFmtId="164" fontId="5" fillId="2" borderId="0" xfId="1" applyNumberFormat="1" applyFont="1" applyFill="1" applyBorder="1" applyAlignment="1">
      <alignment horizontal="center" vertical="center"/>
    </xf>
    <xf numFmtId="164" fontId="4" fillId="2" borderId="4" xfId="1" applyNumberFormat="1" applyFont="1" applyFill="1" applyBorder="1" applyAlignment="1">
      <alignment horizontal="center" vertical="center"/>
    </xf>
    <xf numFmtId="0" fontId="2"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39" fillId="2" borderId="4" xfId="0" applyFont="1" applyFill="1" applyBorder="1" applyAlignment="1">
      <alignment horizontal="center" vertical="center"/>
    </xf>
    <xf numFmtId="164" fontId="38" fillId="2" borderId="3" xfId="3" applyNumberFormat="1" applyFont="1" applyFill="1" applyBorder="1" applyAlignment="1">
      <alignment horizontal="center" vertical="center" wrapText="1"/>
    </xf>
    <xf numFmtId="3" fontId="38" fillId="2" borderId="1" xfId="4" applyNumberFormat="1" applyFont="1" applyFill="1" applyBorder="1" applyAlignment="1">
      <alignment horizontal="center" vertical="center" wrapText="1"/>
    </xf>
    <xf numFmtId="3" fontId="38" fillId="2" borderId="2" xfId="4" applyNumberFormat="1" applyFont="1" applyFill="1" applyBorder="1" applyAlignment="1">
      <alignment horizontal="center" vertical="center" wrapText="1"/>
    </xf>
    <xf numFmtId="0" fontId="40" fillId="2" borderId="3" xfId="0" applyFont="1" applyFill="1" applyBorder="1" applyAlignment="1">
      <alignment horizontal="center" vertical="top" wrapText="1"/>
    </xf>
    <xf numFmtId="3" fontId="38" fillId="2" borderId="3" xfId="4" applyNumberFormat="1" applyFont="1" applyFill="1" applyBorder="1" applyAlignment="1">
      <alignment horizontal="center" vertical="center" wrapText="1"/>
    </xf>
    <xf numFmtId="0" fontId="12" fillId="0" borderId="0" xfId="0" applyFont="1" applyAlignment="1">
      <alignment horizontal="center"/>
    </xf>
    <xf numFmtId="0" fontId="16" fillId="0" borderId="0" xfId="0" applyFont="1" applyAlignment="1">
      <alignment horizontal="center"/>
    </xf>
    <xf numFmtId="0" fontId="42" fillId="0" borderId="4" xfId="0" applyFont="1" applyBorder="1" applyAlignment="1">
      <alignment horizontal="right"/>
    </xf>
    <xf numFmtId="164" fontId="7" fillId="2" borderId="4" xfId="1" applyNumberFormat="1" applyFont="1" applyFill="1" applyBorder="1" applyAlignment="1">
      <alignment horizontal="center" vertical="center"/>
    </xf>
    <xf numFmtId="0" fontId="2" fillId="2" borderId="0" xfId="0" applyFont="1" applyFill="1" applyAlignment="1">
      <alignment horizontal="center" vertical="center" wrapText="1"/>
    </xf>
    <xf numFmtId="0" fontId="5" fillId="2" borderId="0" xfId="0" applyFont="1" applyFill="1" applyAlignment="1">
      <alignment horizontal="center" vertical="center" wrapText="1"/>
    </xf>
    <xf numFmtId="3" fontId="7" fillId="0" borderId="0" xfId="0" applyNumberFormat="1" applyFont="1" applyAlignment="1">
      <alignment horizontal="center" vertical="center"/>
    </xf>
    <xf numFmtId="3" fontId="5" fillId="0" borderId="0" xfId="0" applyNumberFormat="1" applyFont="1" applyAlignment="1">
      <alignment horizontal="center" vertical="center" wrapText="1"/>
    </xf>
    <xf numFmtId="167" fontId="43" fillId="0" borderId="0" xfId="1" applyNumberFormat="1" applyFont="1" applyFill="1" applyAlignment="1">
      <alignment horizontal="center" vertical="center"/>
    </xf>
    <xf numFmtId="3" fontId="5" fillId="0" borderId="0" xfId="0" applyNumberFormat="1" applyFont="1" applyAlignment="1">
      <alignment horizontal="center" vertical="center"/>
    </xf>
    <xf numFmtId="0" fontId="38" fillId="0" borderId="3" xfId="0" applyFont="1" applyBorder="1" applyAlignment="1">
      <alignment horizontal="center" vertical="center" wrapText="1"/>
    </xf>
    <xf numFmtId="3" fontId="7" fillId="0" borderId="0" xfId="0" applyNumberFormat="1" applyFont="1" applyAlignment="1">
      <alignment horizontal="center" vertical="center" wrapText="1"/>
    </xf>
    <xf numFmtId="164" fontId="38" fillId="0" borderId="3" xfId="1" applyNumberFormat="1" applyFont="1" applyBorder="1" applyAlignment="1">
      <alignment horizontal="center" vertical="center" wrapText="1"/>
    </xf>
    <xf numFmtId="0" fontId="38" fillId="0" borderId="3" xfId="21" applyFont="1" applyBorder="1" applyAlignment="1">
      <alignment horizontal="center" vertical="center" wrapText="1"/>
    </xf>
    <xf numFmtId="0" fontId="38" fillId="0" borderId="1" xfId="21" applyFont="1" applyBorder="1" applyAlignment="1">
      <alignment horizontal="center" vertical="center" wrapText="1"/>
    </xf>
    <xf numFmtId="0" fontId="38" fillId="0" borderId="7" xfId="21" applyFont="1" applyBorder="1" applyAlignment="1">
      <alignment horizontal="center" vertical="center" wrapText="1"/>
    </xf>
    <xf numFmtId="0" fontId="38" fillId="0" borderId="2" xfId="21" applyFont="1" applyBorder="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2" xfId="0" applyFont="1" applyBorder="1" applyAlignment="1">
      <alignment horizontal="center" vertical="center" wrapText="1"/>
    </xf>
    <xf numFmtId="3" fontId="7" fillId="0" borderId="0" xfId="0" applyNumberFormat="1" applyFont="1" applyAlignment="1">
      <alignment horizontal="right" vertical="center" wrapText="1"/>
    </xf>
    <xf numFmtId="0" fontId="5" fillId="0" borderId="0" xfId="0" applyFont="1" applyAlignment="1">
      <alignment horizontal="center" vertical="center"/>
    </xf>
    <xf numFmtId="0" fontId="6" fillId="0" borderId="0" xfId="0" applyFont="1" applyAlignment="1">
      <alignment horizontal="left" vertical="center"/>
    </xf>
    <xf numFmtId="0" fontId="38" fillId="0" borderId="3" xfId="0" applyFont="1" applyBorder="1" applyAlignment="1">
      <alignment horizontal="center" vertical="center"/>
    </xf>
    <xf numFmtId="3" fontId="38" fillId="0" borderId="3" xfId="0" applyNumberFormat="1" applyFont="1" applyBorder="1" applyAlignment="1">
      <alignment horizontal="center" vertical="center" wrapText="1"/>
    </xf>
    <xf numFmtId="168" fontId="39" fillId="0" borderId="3" xfId="21" applyNumberFormat="1" applyFont="1" applyBorder="1" applyAlignment="1">
      <alignment horizontal="center" vertical="center" wrapText="1"/>
    </xf>
    <xf numFmtId="168" fontId="38" fillId="0" borderId="3" xfId="21" applyNumberFormat="1" applyFont="1" applyBorder="1" applyAlignment="1">
      <alignment horizontal="center" vertical="center" wrapText="1"/>
    </xf>
    <xf numFmtId="0" fontId="39" fillId="0" borderId="3" xfId="21" applyFont="1" applyBorder="1" applyAlignment="1">
      <alignment horizontal="center" vertical="center" wrapText="1"/>
    </xf>
    <xf numFmtId="164" fontId="21" fillId="0" borderId="0" xfId="1" applyNumberFormat="1" applyFont="1" applyAlignment="1">
      <alignment horizontal="center"/>
    </xf>
    <xf numFmtId="164" fontId="2" fillId="2" borderId="0" xfId="0" applyNumberFormat="1" applyFont="1" applyFill="1" applyAlignment="1">
      <alignment horizontal="justify" vertical="center"/>
    </xf>
  </cellXfs>
  <cellStyles count="22">
    <cellStyle name="Comma" xfId="1" builtinId="3"/>
    <cellStyle name="Comma [0]" xfId="17" builtinId="6"/>
    <cellStyle name="Comma 10" xfId="13" xr:uid="{00000000-0005-0000-0000-000002000000}"/>
    <cellStyle name="Comma 2 2" xfId="10" xr:uid="{00000000-0005-0000-0000-000003000000}"/>
    <cellStyle name="Comma 2 5" xfId="5" xr:uid="{00000000-0005-0000-0000-000004000000}"/>
    <cellStyle name="Comma 27" xfId="3" xr:uid="{00000000-0005-0000-0000-000005000000}"/>
    <cellStyle name="Comma 5" xfId="6" xr:uid="{00000000-0005-0000-0000-000006000000}"/>
    <cellStyle name="Comma 6" xfId="8" xr:uid="{00000000-0005-0000-0000-000007000000}"/>
    <cellStyle name="Comma 8" xfId="15" xr:uid="{00000000-0005-0000-0000-000008000000}"/>
    <cellStyle name="Normal" xfId="0" builtinId="0"/>
    <cellStyle name="Normal 12" xfId="9" xr:uid="{00000000-0005-0000-0000-00000A000000}"/>
    <cellStyle name="Normal 14" xfId="2" xr:uid="{00000000-0005-0000-0000-00000B000000}"/>
    <cellStyle name="Normal 2 2" xfId="19" xr:uid="{00000000-0005-0000-0000-00000C000000}"/>
    <cellStyle name="Normal 2 2 4" xfId="16" xr:uid="{00000000-0005-0000-0000-00000D000000}"/>
    <cellStyle name="Normal 2 3" xfId="14" xr:uid="{00000000-0005-0000-0000-00000E000000}"/>
    <cellStyle name="Normal 2 5 4 2" xfId="20" xr:uid="{00000000-0005-0000-0000-00000F000000}"/>
    <cellStyle name="Normal 29 2" xfId="7" xr:uid="{00000000-0005-0000-0000-000010000000}"/>
    <cellStyle name="Normal 3 2 2" xfId="11" xr:uid="{00000000-0005-0000-0000-000011000000}"/>
    <cellStyle name="Normal 4" xfId="21" xr:uid="{8E34E33C-E869-43FD-A57F-F63F22A1A156}"/>
    <cellStyle name="Normal 4 2" xfId="4" xr:uid="{00000000-0005-0000-0000-000012000000}"/>
    <cellStyle name="Normal 42" xfId="18" xr:uid="{00000000-0005-0000-0000-000013000000}"/>
    <cellStyle name="Normal 5" xfId="12"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1083742</xdr:colOff>
      <xdr:row>2</xdr:row>
      <xdr:rowOff>9315</xdr:rowOff>
    </xdr:from>
    <xdr:to>
      <xdr:col>1</xdr:col>
      <xdr:colOff>1634075</xdr:colOff>
      <xdr:row>2</xdr:row>
      <xdr:rowOff>9315</xdr:rowOff>
    </xdr:to>
    <xdr:cxnSp macro="">
      <xdr:nvCxnSpPr>
        <xdr:cNvPr id="2" name="Straight Connector 1">
          <a:extLst>
            <a:ext uri="{FF2B5EF4-FFF2-40B4-BE49-F238E27FC236}">
              <a16:creationId xmlns:a16="http://schemas.microsoft.com/office/drawing/2014/main" id="{7F4A4B7E-57FF-4712-BC6D-6177D06C522C}"/>
            </a:ext>
          </a:extLst>
        </xdr:cNvPr>
        <xdr:cNvCxnSpPr/>
      </xdr:nvCxnSpPr>
      <xdr:spPr>
        <a:xfrm>
          <a:off x="1464742" y="436035"/>
          <a:ext cx="550333"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1042325</xdr:colOff>
      <xdr:row>2</xdr:row>
      <xdr:rowOff>6350</xdr:rowOff>
    </xdr:from>
    <xdr:to>
      <xdr:col>1</xdr:col>
      <xdr:colOff>1539240</xdr:colOff>
      <xdr:row>2</xdr:row>
      <xdr:rowOff>6350</xdr:rowOff>
    </xdr:to>
    <xdr:cxnSp macro="">
      <xdr:nvCxnSpPr>
        <xdr:cNvPr id="2" name="Straight Connector 1">
          <a:extLst>
            <a:ext uri="{FF2B5EF4-FFF2-40B4-BE49-F238E27FC236}">
              <a16:creationId xmlns:a16="http://schemas.microsoft.com/office/drawing/2014/main" id="{62B6F834-2E2A-444C-BC7A-7B062FD137C2}"/>
            </a:ext>
          </a:extLst>
        </xdr:cNvPr>
        <xdr:cNvCxnSpPr/>
      </xdr:nvCxnSpPr>
      <xdr:spPr>
        <a:xfrm>
          <a:off x="1423325" y="410210"/>
          <a:ext cx="4969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894522</xdr:colOff>
      <xdr:row>2</xdr:row>
      <xdr:rowOff>0</xdr:rowOff>
    </xdr:from>
    <xdr:to>
      <xdr:col>0</xdr:col>
      <xdr:colOff>1477617</xdr:colOff>
      <xdr:row>2</xdr:row>
      <xdr:rowOff>0</xdr:rowOff>
    </xdr:to>
    <xdr:cxnSp macro="">
      <xdr:nvCxnSpPr>
        <xdr:cNvPr id="3" name="Straight Connector 2">
          <a:extLst>
            <a:ext uri="{FF2B5EF4-FFF2-40B4-BE49-F238E27FC236}">
              <a16:creationId xmlns:a16="http://schemas.microsoft.com/office/drawing/2014/main" id="{75F8DA9C-1139-8C53-842B-49321F4D298E}"/>
            </a:ext>
          </a:extLst>
        </xdr:cNvPr>
        <xdr:cNvCxnSpPr/>
      </xdr:nvCxnSpPr>
      <xdr:spPr>
        <a:xfrm>
          <a:off x="894522" y="397565"/>
          <a:ext cx="58309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1176865</xdr:colOff>
      <xdr:row>1</xdr:row>
      <xdr:rowOff>210818</xdr:rowOff>
    </xdr:from>
    <xdr:to>
      <xdr:col>1</xdr:col>
      <xdr:colOff>1717885</xdr:colOff>
      <xdr:row>1</xdr:row>
      <xdr:rowOff>210818</xdr:rowOff>
    </xdr:to>
    <xdr:cxnSp macro="">
      <xdr:nvCxnSpPr>
        <xdr:cNvPr id="2" name="Straight Connector 1">
          <a:extLst>
            <a:ext uri="{FF2B5EF4-FFF2-40B4-BE49-F238E27FC236}">
              <a16:creationId xmlns:a16="http://schemas.microsoft.com/office/drawing/2014/main" id="{2917E2FE-6D58-4C3B-99E9-7ED599490FF8}"/>
            </a:ext>
          </a:extLst>
        </xdr:cNvPr>
        <xdr:cNvCxnSpPr/>
      </xdr:nvCxnSpPr>
      <xdr:spPr>
        <a:xfrm>
          <a:off x="1481665" y="424178"/>
          <a:ext cx="54102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3223333</xdr:colOff>
      <xdr:row>3</xdr:row>
      <xdr:rowOff>13620</xdr:rowOff>
    </xdr:from>
    <xdr:to>
      <xdr:col>1</xdr:col>
      <xdr:colOff>3716392</xdr:colOff>
      <xdr:row>3</xdr:row>
      <xdr:rowOff>13620</xdr:rowOff>
    </xdr:to>
    <xdr:cxnSp macro="">
      <xdr:nvCxnSpPr>
        <xdr:cNvPr id="2" name="Straight Connector 1">
          <a:extLst>
            <a:ext uri="{FF2B5EF4-FFF2-40B4-BE49-F238E27FC236}">
              <a16:creationId xmlns:a16="http://schemas.microsoft.com/office/drawing/2014/main" id="{887F7744-83B5-467E-806E-9DB453FDD872}"/>
            </a:ext>
          </a:extLst>
        </xdr:cNvPr>
        <xdr:cNvCxnSpPr/>
      </xdr:nvCxnSpPr>
      <xdr:spPr>
        <a:xfrm>
          <a:off x="3147133" y="493680"/>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tabSelected="1" workbookViewId="0">
      <selection activeCell="L14" sqref="L14"/>
    </sheetView>
  </sheetViews>
  <sheetFormatPr defaultColWidth="8.6640625" defaultRowHeight="16.8" x14ac:dyDescent="0.3"/>
  <cols>
    <col min="1" max="1" width="5.5546875" style="12" customWidth="1"/>
    <col min="2" max="2" width="35.33203125" style="13" customWidth="1"/>
    <col min="3" max="8" width="11.77734375" style="42" customWidth="1"/>
    <col min="9" max="10" width="12.77734375" style="42" customWidth="1"/>
    <col min="11" max="11" width="12.6640625" style="42" bestFit="1" customWidth="1"/>
    <col min="12" max="12" width="12.88671875" style="42" customWidth="1"/>
    <col min="13" max="13" width="14.5546875" style="42" customWidth="1"/>
    <col min="14" max="14" width="17.88671875" style="42" bestFit="1" customWidth="1"/>
    <col min="15" max="16384" width="8.6640625" style="42"/>
  </cols>
  <sheetData>
    <row r="1" spans="1:14" s="10" customFormat="1" x14ac:dyDescent="0.3">
      <c r="A1" s="327" t="s">
        <v>0</v>
      </c>
      <c r="B1" s="327"/>
      <c r="C1" s="327"/>
      <c r="I1" s="328"/>
      <c r="J1" s="328"/>
    </row>
    <row r="2" spans="1:14" s="10" customFormat="1" x14ac:dyDescent="0.3">
      <c r="A2" s="327" t="s">
        <v>25</v>
      </c>
      <c r="B2" s="327"/>
      <c r="C2" s="327"/>
      <c r="E2" s="11"/>
      <c r="I2" s="11"/>
    </row>
    <row r="3" spans="1:14" s="10" customFormat="1" ht="9.6" customHeight="1" x14ac:dyDescent="0.3">
      <c r="E3" s="11"/>
      <c r="I3" s="11"/>
    </row>
    <row r="4" spans="1:14" s="12" customFormat="1" x14ac:dyDescent="0.3">
      <c r="A4" s="327" t="s">
        <v>315</v>
      </c>
      <c r="B4" s="327"/>
      <c r="C4" s="327"/>
      <c r="D4" s="327"/>
      <c r="E4" s="327"/>
      <c r="F4" s="327"/>
      <c r="G4" s="327"/>
      <c r="H4" s="327"/>
      <c r="I4" s="327"/>
      <c r="J4" s="327"/>
    </row>
    <row r="5" spans="1:14" s="12" customFormat="1" x14ac:dyDescent="0.3">
      <c r="A5" s="329" t="s">
        <v>171</v>
      </c>
      <c r="B5" s="329"/>
      <c r="C5" s="329"/>
      <c r="D5" s="329"/>
      <c r="E5" s="329"/>
      <c r="F5" s="329"/>
      <c r="G5" s="329"/>
      <c r="H5" s="329"/>
      <c r="I5" s="329"/>
      <c r="J5" s="329"/>
    </row>
    <row r="6" spans="1:14" s="12" customFormat="1" x14ac:dyDescent="0.3">
      <c r="B6" s="13"/>
      <c r="F6" s="14"/>
      <c r="G6" s="14"/>
      <c r="H6" s="326" t="s">
        <v>26</v>
      </c>
      <c r="I6" s="326"/>
      <c r="J6" s="326"/>
    </row>
    <row r="7" spans="1:14" s="16" customFormat="1" ht="15.6" x14ac:dyDescent="0.3">
      <c r="A7" s="323" t="s">
        <v>1</v>
      </c>
      <c r="B7" s="323" t="s">
        <v>2</v>
      </c>
      <c r="C7" s="323" t="s">
        <v>86</v>
      </c>
      <c r="D7" s="323"/>
      <c r="E7" s="323" t="s">
        <v>87</v>
      </c>
      <c r="F7" s="323"/>
      <c r="G7" s="323" t="s">
        <v>172</v>
      </c>
      <c r="H7" s="323"/>
      <c r="I7" s="323" t="s">
        <v>88</v>
      </c>
      <c r="J7" s="323" t="s">
        <v>89</v>
      </c>
    </row>
    <row r="8" spans="1:14" s="16" customFormat="1" ht="57" customHeight="1" x14ac:dyDescent="0.3">
      <c r="A8" s="323"/>
      <c r="B8" s="323"/>
      <c r="C8" s="15" t="s">
        <v>3</v>
      </c>
      <c r="D8" s="15" t="s">
        <v>90</v>
      </c>
      <c r="E8" s="15" t="s">
        <v>3</v>
      </c>
      <c r="F8" s="15" t="s">
        <v>90</v>
      </c>
      <c r="G8" s="15" t="s">
        <v>3</v>
      </c>
      <c r="H8" s="15" t="s">
        <v>90</v>
      </c>
      <c r="I8" s="323"/>
      <c r="J8" s="323"/>
    </row>
    <row r="9" spans="1:14" s="18" customFormat="1" ht="24" x14ac:dyDescent="0.3">
      <c r="A9" s="17" t="s">
        <v>91</v>
      </c>
      <c r="B9" s="17" t="s">
        <v>92</v>
      </c>
      <c r="C9" s="17" t="s">
        <v>93</v>
      </c>
      <c r="D9" s="17" t="s">
        <v>94</v>
      </c>
      <c r="E9" s="17" t="s">
        <v>95</v>
      </c>
      <c r="F9" s="17" t="s">
        <v>96</v>
      </c>
      <c r="G9" s="17" t="s">
        <v>97</v>
      </c>
      <c r="H9" s="17" t="s">
        <v>98</v>
      </c>
      <c r="I9" s="17" t="s">
        <v>293</v>
      </c>
      <c r="J9" s="17" t="s">
        <v>294</v>
      </c>
    </row>
    <row r="10" spans="1:14" s="6" customFormat="1" ht="15.6" x14ac:dyDescent="0.3">
      <c r="A10" s="324" t="s">
        <v>4</v>
      </c>
      <c r="B10" s="324"/>
      <c r="C10" s="19">
        <f t="shared" ref="C10:H10" si="0">C11+C36+C34+C35</f>
        <v>481468.61300000001</v>
      </c>
      <c r="D10" s="19">
        <f t="shared" si="0"/>
        <v>442228.21299999999</v>
      </c>
      <c r="E10" s="19">
        <f t="shared" si="0"/>
        <v>502803.02399999998</v>
      </c>
      <c r="F10" s="19">
        <f>F11+F36+F34+F35+1</f>
        <v>447988.424</v>
      </c>
      <c r="G10" s="19">
        <f t="shared" si="0"/>
        <v>588953.15784899995</v>
      </c>
      <c r="H10" s="19">
        <f t="shared" si="0"/>
        <v>479736.79271299997</v>
      </c>
      <c r="I10" s="20">
        <f>H10/D10*100</f>
        <v>108.48172473179589</v>
      </c>
      <c r="J10" s="20">
        <f>H10/F10*100</f>
        <v>107.08687256459109</v>
      </c>
      <c r="K10" s="188"/>
      <c r="L10" s="21"/>
      <c r="M10" s="22"/>
      <c r="N10" s="22"/>
    </row>
    <row r="11" spans="1:14" s="27" customFormat="1" ht="15.6" x14ac:dyDescent="0.3">
      <c r="A11" s="23" t="s">
        <v>5</v>
      </c>
      <c r="B11" s="24" t="s">
        <v>6</v>
      </c>
      <c r="C11" s="19">
        <f t="shared" ref="C11:H11" si="1">C12+C15+C20+C21+C22+C25+C26+C32+C33</f>
        <v>65399</v>
      </c>
      <c r="D11" s="19">
        <f t="shared" si="1"/>
        <v>26158.6</v>
      </c>
      <c r="E11" s="19">
        <f t="shared" si="1"/>
        <v>86733.410999999993</v>
      </c>
      <c r="F11" s="19">
        <f t="shared" si="1"/>
        <v>31917.810999999998</v>
      </c>
      <c r="G11" s="19">
        <f t="shared" si="1"/>
        <v>164267.24680600001</v>
      </c>
      <c r="H11" s="19">
        <f t="shared" si="1"/>
        <v>55050.881670000002</v>
      </c>
      <c r="I11" s="20">
        <f t="shared" ref="I11:I39" si="2">H11/D11*100</f>
        <v>210.45041275144695</v>
      </c>
      <c r="J11" s="20">
        <f t="shared" ref="J11:J39" si="3">H11/F11*100</f>
        <v>172.47699621380679</v>
      </c>
      <c r="K11" s="26"/>
      <c r="L11" s="25"/>
      <c r="M11" s="25"/>
      <c r="N11" s="26"/>
    </row>
    <row r="12" spans="1:14" s="6" customFormat="1" ht="15.6" x14ac:dyDescent="0.3">
      <c r="A12" s="311">
        <v>1.1000000000000001</v>
      </c>
      <c r="B12" s="312" t="s">
        <v>7</v>
      </c>
      <c r="C12" s="4">
        <f t="shared" ref="C12:H12" si="4">C13+C14</f>
        <v>85</v>
      </c>
      <c r="D12" s="4">
        <f t="shared" si="4"/>
        <v>85</v>
      </c>
      <c r="E12" s="4">
        <f t="shared" si="4"/>
        <v>808.01599999999996</v>
      </c>
      <c r="F12" s="4">
        <f t="shared" si="4"/>
        <v>808.01599999999996</v>
      </c>
      <c r="G12" s="4">
        <f t="shared" si="4"/>
        <v>1037.7748750000001</v>
      </c>
      <c r="H12" s="4">
        <f t="shared" si="4"/>
        <v>1025.8642</v>
      </c>
      <c r="I12" s="5">
        <f t="shared" si="2"/>
        <v>1206.8990588235295</v>
      </c>
      <c r="J12" s="5">
        <f t="shared" si="3"/>
        <v>126.9608770123364</v>
      </c>
      <c r="K12" s="26"/>
      <c r="L12" s="26"/>
      <c r="N12" s="313"/>
    </row>
    <row r="13" spans="1:14" s="9" customFormat="1" ht="15.6" x14ac:dyDescent="0.3">
      <c r="A13" s="7"/>
      <c r="B13" s="28" t="s">
        <v>8</v>
      </c>
      <c r="C13" s="8">
        <v>61</v>
      </c>
      <c r="D13" s="8">
        <v>61</v>
      </c>
      <c r="E13" s="8">
        <v>743.21600000000001</v>
      </c>
      <c r="F13" s="8">
        <v>743.21600000000001</v>
      </c>
      <c r="G13" s="8">
        <v>1018.574875</v>
      </c>
      <c r="H13" s="8">
        <v>1006.6642000000001</v>
      </c>
      <c r="I13" s="5">
        <f t="shared" si="2"/>
        <v>1650.269180327869</v>
      </c>
      <c r="J13" s="5">
        <f t="shared" si="3"/>
        <v>135.44705711394803</v>
      </c>
      <c r="K13" s="26"/>
      <c r="L13" s="26"/>
      <c r="M13" s="92"/>
    </row>
    <row r="14" spans="1:14" s="9" customFormat="1" ht="15.6" x14ac:dyDescent="0.3">
      <c r="A14" s="7"/>
      <c r="B14" s="28" t="s">
        <v>9</v>
      </c>
      <c r="C14" s="8">
        <v>24</v>
      </c>
      <c r="D14" s="8">
        <v>24</v>
      </c>
      <c r="E14" s="8">
        <v>64.8</v>
      </c>
      <c r="F14" s="8">
        <v>64.8</v>
      </c>
      <c r="G14" s="8">
        <v>19.2</v>
      </c>
      <c r="H14" s="8">
        <v>19.2</v>
      </c>
      <c r="I14" s="5">
        <f t="shared" si="2"/>
        <v>80</v>
      </c>
      <c r="J14" s="5">
        <f t="shared" si="3"/>
        <v>29.629629629629626</v>
      </c>
      <c r="K14" s="26"/>
      <c r="L14" s="26"/>
      <c r="N14" s="29"/>
    </row>
    <row r="15" spans="1:14" s="6" customFormat="1" ht="15.6" x14ac:dyDescent="0.3">
      <c r="A15" s="311">
        <v>2</v>
      </c>
      <c r="B15" s="312" t="s">
        <v>99</v>
      </c>
      <c r="C15" s="4">
        <f t="shared" ref="C15:H15" si="5">C16+C19</f>
        <v>383</v>
      </c>
      <c r="D15" s="4">
        <f t="shared" si="5"/>
        <v>163</v>
      </c>
      <c r="E15" s="4">
        <f t="shared" si="5"/>
        <v>544.39499999999998</v>
      </c>
      <c r="F15" s="4">
        <f t="shared" si="5"/>
        <v>324.39499999999998</v>
      </c>
      <c r="G15" s="4">
        <f t="shared" si="5"/>
        <v>403.17829900000004</v>
      </c>
      <c r="H15" s="4">
        <f t="shared" si="5"/>
        <v>219.67829900000001</v>
      </c>
      <c r="I15" s="5">
        <f t="shared" si="2"/>
        <v>134.77196257668714</v>
      </c>
      <c r="J15" s="5">
        <f t="shared" si="3"/>
        <v>67.719385009016804</v>
      </c>
      <c r="K15" s="26"/>
      <c r="L15" s="26"/>
    </row>
    <row r="16" spans="1:14" s="6" customFormat="1" ht="15.6" x14ac:dyDescent="0.3">
      <c r="A16" s="311" t="s">
        <v>10</v>
      </c>
      <c r="B16" s="312" t="s">
        <v>100</v>
      </c>
      <c r="C16" s="4">
        <f t="shared" ref="C16:H16" si="6">SUM(C17:C18)</f>
        <v>332</v>
      </c>
      <c r="D16" s="4">
        <f t="shared" si="6"/>
        <v>112</v>
      </c>
      <c r="E16" s="4">
        <f t="shared" si="6"/>
        <v>462</v>
      </c>
      <c r="F16" s="4">
        <f t="shared" si="6"/>
        <v>242</v>
      </c>
      <c r="G16" s="4">
        <f t="shared" si="6"/>
        <v>323.55</v>
      </c>
      <c r="H16" s="4">
        <f t="shared" si="6"/>
        <v>140.05000000000001</v>
      </c>
      <c r="I16" s="5">
        <f t="shared" si="2"/>
        <v>125.04464285714288</v>
      </c>
      <c r="J16" s="5">
        <f t="shared" si="3"/>
        <v>57.871900826446286</v>
      </c>
      <c r="K16" s="26"/>
      <c r="L16" s="26"/>
    </row>
    <row r="17" spans="1:14" s="9" customFormat="1" ht="15.6" x14ac:dyDescent="0.3">
      <c r="A17" s="7"/>
      <c r="B17" s="1" t="s">
        <v>11</v>
      </c>
      <c r="C17" s="8">
        <v>220</v>
      </c>
      <c r="D17" s="8">
        <v>0</v>
      </c>
      <c r="E17" s="8">
        <v>220</v>
      </c>
      <c r="F17" s="8">
        <v>0</v>
      </c>
      <c r="G17" s="8">
        <v>183.5</v>
      </c>
      <c r="H17" s="8">
        <v>0</v>
      </c>
      <c r="I17" s="5"/>
      <c r="J17" s="5"/>
      <c r="K17" s="26"/>
      <c r="L17" s="26"/>
      <c r="M17" s="314"/>
      <c r="N17" s="314"/>
    </row>
    <row r="18" spans="1:14" s="9" customFormat="1" ht="15.6" x14ac:dyDescent="0.3">
      <c r="A18" s="7"/>
      <c r="B18" s="1" t="s">
        <v>12</v>
      </c>
      <c r="C18" s="8">
        <v>112</v>
      </c>
      <c r="D18" s="8">
        <v>112</v>
      </c>
      <c r="E18" s="8">
        <v>242</v>
      </c>
      <c r="F18" s="8">
        <v>242</v>
      </c>
      <c r="G18" s="8">
        <v>140.05000000000001</v>
      </c>
      <c r="H18" s="8">
        <v>140.05000000000001</v>
      </c>
      <c r="I18" s="5">
        <f t="shared" si="2"/>
        <v>125.04464285714288</v>
      </c>
      <c r="J18" s="5">
        <f t="shared" si="3"/>
        <v>57.871900826446286</v>
      </c>
      <c r="K18" s="26"/>
      <c r="L18" s="26"/>
      <c r="N18" s="29"/>
    </row>
    <row r="19" spans="1:14" s="6" customFormat="1" ht="15.6" x14ac:dyDescent="0.3">
      <c r="A19" s="311" t="s">
        <v>13</v>
      </c>
      <c r="B19" s="312" t="s">
        <v>101</v>
      </c>
      <c r="C19" s="4">
        <v>51</v>
      </c>
      <c r="D19" s="4">
        <v>51</v>
      </c>
      <c r="E19" s="4">
        <v>82.394999999999996</v>
      </c>
      <c r="F19" s="4">
        <v>82.394999999999996</v>
      </c>
      <c r="G19" s="4">
        <v>79.628298999999998</v>
      </c>
      <c r="H19" s="4">
        <v>79.628298999999998</v>
      </c>
      <c r="I19" s="5">
        <f t="shared" si="2"/>
        <v>156.13391960784313</v>
      </c>
      <c r="J19" s="5">
        <f t="shared" si="3"/>
        <v>96.642149402269567</v>
      </c>
      <c r="K19" s="26"/>
      <c r="L19" s="26"/>
    </row>
    <row r="20" spans="1:14" s="6" customFormat="1" ht="15.6" x14ac:dyDescent="0.3">
      <c r="A20" s="311">
        <v>3</v>
      </c>
      <c r="B20" s="312" t="s">
        <v>102</v>
      </c>
      <c r="C20" s="4">
        <v>38820</v>
      </c>
      <c r="D20" s="4">
        <v>21834</v>
      </c>
      <c r="E20" s="4">
        <v>56344</v>
      </c>
      <c r="F20" s="4">
        <f>E20*45%</f>
        <v>25354.799999999999</v>
      </c>
      <c r="G20" s="4">
        <v>102315.53808</v>
      </c>
      <c r="H20" s="4">
        <v>46041.992164000003</v>
      </c>
      <c r="I20" s="5">
        <f t="shared" si="2"/>
        <v>210.8729145552808</v>
      </c>
      <c r="J20" s="5">
        <f t="shared" si="3"/>
        <v>181.5908315742976</v>
      </c>
      <c r="K20" s="26"/>
      <c r="L20" s="26"/>
    </row>
    <row r="21" spans="1:14" s="6" customFormat="1" ht="15.6" x14ac:dyDescent="0.3">
      <c r="A21" s="311">
        <v>4</v>
      </c>
      <c r="B21" s="312" t="s">
        <v>103</v>
      </c>
      <c r="C21" s="4">
        <v>1047</v>
      </c>
      <c r="D21" s="4">
        <v>14.1</v>
      </c>
      <c r="E21" s="4">
        <v>1552</v>
      </c>
      <c r="F21" s="4">
        <v>165.6</v>
      </c>
      <c r="G21" s="4">
        <v>863.52432499999998</v>
      </c>
      <c r="H21" s="4">
        <v>229.11338900000001</v>
      </c>
      <c r="I21" s="5">
        <f t="shared" si="2"/>
        <v>1624.9176524822697</v>
      </c>
      <c r="J21" s="5">
        <f t="shared" si="3"/>
        <v>138.35349577294687</v>
      </c>
      <c r="K21" s="26"/>
      <c r="L21" s="26"/>
    </row>
    <row r="22" spans="1:14" s="6" customFormat="1" ht="15.6" x14ac:dyDescent="0.3">
      <c r="A22" s="311">
        <v>5</v>
      </c>
      <c r="B22" s="312" t="s">
        <v>14</v>
      </c>
      <c r="C22" s="4">
        <f t="shared" ref="C22:H22" si="7">SUM(C23:C24)</f>
        <v>8025</v>
      </c>
      <c r="D22" s="4">
        <f t="shared" si="7"/>
        <v>436</v>
      </c>
      <c r="E22" s="4">
        <f t="shared" si="7"/>
        <v>8545</v>
      </c>
      <c r="F22" s="4">
        <f t="shared" si="7"/>
        <v>852</v>
      </c>
      <c r="G22" s="4">
        <f t="shared" si="7"/>
        <v>13181.909705</v>
      </c>
      <c r="H22" s="4">
        <f t="shared" si="7"/>
        <v>1182.588508</v>
      </c>
      <c r="I22" s="5">
        <f t="shared" si="2"/>
        <v>271.23589633027524</v>
      </c>
      <c r="J22" s="5">
        <f t="shared" si="3"/>
        <v>138.80146807511738</v>
      </c>
      <c r="K22" s="26"/>
      <c r="L22" s="26"/>
    </row>
    <row r="23" spans="1:14" s="9" customFormat="1" ht="15.6" x14ac:dyDescent="0.3">
      <c r="A23" s="7"/>
      <c r="B23" s="2" t="s">
        <v>15</v>
      </c>
      <c r="C23" s="8">
        <v>545</v>
      </c>
      <c r="D23" s="8">
        <v>436</v>
      </c>
      <c r="E23" s="8">
        <v>1065</v>
      </c>
      <c r="F23" s="8">
        <v>852</v>
      </c>
      <c r="G23" s="8">
        <v>1478.2355709999999</v>
      </c>
      <c r="H23" s="8">
        <v>1182.588508</v>
      </c>
      <c r="I23" s="5">
        <f t="shared" si="2"/>
        <v>271.23589633027524</v>
      </c>
      <c r="J23" s="5">
        <f t="shared" si="3"/>
        <v>138.80146807511738</v>
      </c>
      <c r="K23" s="26"/>
      <c r="L23" s="26"/>
    </row>
    <row r="24" spans="1:14" s="9" customFormat="1" ht="15.6" x14ac:dyDescent="0.3">
      <c r="A24" s="7"/>
      <c r="B24" s="2" t="s">
        <v>16</v>
      </c>
      <c r="C24" s="8">
        <v>7480</v>
      </c>
      <c r="D24" s="8">
        <v>0</v>
      </c>
      <c r="E24" s="8">
        <v>7480</v>
      </c>
      <c r="F24" s="8">
        <v>0</v>
      </c>
      <c r="G24" s="8">
        <v>11703.674134000001</v>
      </c>
      <c r="H24" s="8">
        <v>0</v>
      </c>
      <c r="I24" s="5"/>
      <c r="J24" s="5"/>
      <c r="K24" s="26"/>
      <c r="L24" s="26"/>
    </row>
    <row r="25" spans="1:14" s="6" customFormat="1" ht="15.6" x14ac:dyDescent="0.3">
      <c r="A25" s="311">
        <v>6</v>
      </c>
      <c r="B25" s="312" t="s">
        <v>104</v>
      </c>
      <c r="C25" s="4">
        <v>208</v>
      </c>
      <c r="D25" s="4">
        <v>208</v>
      </c>
      <c r="E25" s="4">
        <v>490</v>
      </c>
      <c r="F25" s="4">
        <v>490</v>
      </c>
      <c r="G25" s="4">
        <v>418.29873700000002</v>
      </c>
      <c r="H25" s="4">
        <v>418.29873700000002</v>
      </c>
      <c r="I25" s="5">
        <f t="shared" si="2"/>
        <v>201.10516201923079</v>
      </c>
      <c r="J25" s="5">
        <f t="shared" si="3"/>
        <v>85.367089183673471</v>
      </c>
      <c r="K25" s="26"/>
      <c r="L25" s="26"/>
      <c r="N25" s="37"/>
    </row>
    <row r="26" spans="1:14" s="6" customFormat="1" ht="15.6" x14ac:dyDescent="0.3">
      <c r="A26" s="311">
        <v>7</v>
      </c>
      <c r="B26" s="30" t="s">
        <v>105</v>
      </c>
      <c r="C26" s="4">
        <f t="shared" ref="C26:H26" si="8">C27+C30+C31</f>
        <v>14531</v>
      </c>
      <c r="D26" s="4">
        <f t="shared" si="8"/>
        <v>3418.5</v>
      </c>
      <c r="E26" s="4">
        <f t="shared" si="8"/>
        <v>16150</v>
      </c>
      <c r="F26" s="4">
        <f t="shared" si="8"/>
        <v>3923</v>
      </c>
      <c r="G26" s="4">
        <f t="shared" si="8"/>
        <v>36408.427817999996</v>
      </c>
      <c r="H26" s="4">
        <f t="shared" si="8"/>
        <v>5903.3463730000003</v>
      </c>
      <c r="I26" s="5">
        <f t="shared" si="2"/>
        <v>172.68820748866463</v>
      </c>
      <c r="J26" s="5">
        <f t="shared" si="3"/>
        <v>150.48040716288554</v>
      </c>
      <c r="K26" s="26"/>
      <c r="L26" s="26"/>
    </row>
    <row r="27" spans="1:14" s="6" customFormat="1" ht="15.6" x14ac:dyDescent="0.3">
      <c r="A27" s="311" t="s">
        <v>17</v>
      </c>
      <c r="B27" s="30" t="s">
        <v>18</v>
      </c>
      <c r="C27" s="4">
        <f t="shared" ref="C27:H27" si="9">SUM(C28:C29)</f>
        <v>14490</v>
      </c>
      <c r="D27" s="4">
        <f t="shared" si="9"/>
        <v>3398</v>
      </c>
      <c r="E27" s="4">
        <f t="shared" si="9"/>
        <v>16090</v>
      </c>
      <c r="F27" s="4">
        <f t="shared" si="9"/>
        <v>3893</v>
      </c>
      <c r="G27" s="4">
        <f t="shared" si="9"/>
        <v>36146.349363000001</v>
      </c>
      <c r="H27" s="4">
        <f t="shared" si="9"/>
        <v>5824.8926060000003</v>
      </c>
      <c r="I27" s="5">
        <f t="shared" si="2"/>
        <v>171.42120676868748</v>
      </c>
      <c r="J27" s="5">
        <f t="shared" si="3"/>
        <v>149.62477796044183</v>
      </c>
      <c r="K27" s="26"/>
      <c r="L27" s="26"/>
    </row>
    <row r="28" spans="1:14" s="9" customFormat="1" ht="15.6" x14ac:dyDescent="0.3">
      <c r="A28" s="7"/>
      <c r="B28" s="31" t="s">
        <v>11</v>
      </c>
      <c r="C28" s="8">
        <v>13490</v>
      </c>
      <c r="D28" s="8">
        <v>2698</v>
      </c>
      <c r="E28" s="8">
        <v>14740</v>
      </c>
      <c r="F28" s="8">
        <v>2948</v>
      </c>
      <c r="G28" s="8">
        <f>34144-30.43</f>
        <v>34113.57</v>
      </c>
      <c r="H28" s="8">
        <f>4462-28.65</f>
        <v>4433.3500000000004</v>
      </c>
      <c r="I28" s="5">
        <f t="shared" si="2"/>
        <v>164.31986656782806</v>
      </c>
      <c r="J28" s="5">
        <f t="shared" si="3"/>
        <v>150.38500678426053</v>
      </c>
      <c r="K28" s="26"/>
      <c r="L28" s="26"/>
    </row>
    <row r="29" spans="1:14" s="9" customFormat="1" ht="15.6" x14ac:dyDescent="0.3">
      <c r="A29" s="7"/>
      <c r="B29" s="31" t="s">
        <v>19</v>
      </c>
      <c r="C29" s="8">
        <v>1000</v>
      </c>
      <c r="D29" s="8">
        <v>700</v>
      </c>
      <c r="E29" s="8">
        <v>1350</v>
      </c>
      <c r="F29" s="8">
        <v>945</v>
      </c>
      <c r="G29" s="8">
        <v>2032.7793630000001</v>
      </c>
      <c r="H29" s="8">
        <v>1391.542606</v>
      </c>
      <c r="I29" s="5">
        <f t="shared" si="2"/>
        <v>198.79180085714285</v>
      </c>
      <c r="J29" s="5">
        <f t="shared" si="3"/>
        <v>147.25318582010581</v>
      </c>
      <c r="K29" s="26"/>
      <c r="L29" s="26"/>
    </row>
    <row r="30" spans="1:14" s="6" customFormat="1" ht="15.6" x14ac:dyDescent="0.3">
      <c r="A30" s="311" t="s">
        <v>106</v>
      </c>
      <c r="B30" s="312" t="s">
        <v>107</v>
      </c>
      <c r="C30" s="4">
        <v>41</v>
      </c>
      <c r="D30" s="4">
        <v>20.5</v>
      </c>
      <c r="E30" s="4">
        <v>60</v>
      </c>
      <c r="F30" s="4">
        <v>30</v>
      </c>
      <c r="G30" s="4">
        <v>86.793559000000002</v>
      </c>
      <c r="H30" s="4">
        <v>43.396783999999997</v>
      </c>
      <c r="I30" s="5">
        <f t="shared" si="2"/>
        <v>211.69162926829267</v>
      </c>
      <c r="J30" s="5">
        <f t="shared" si="3"/>
        <v>144.65594666666667</v>
      </c>
      <c r="K30" s="26"/>
      <c r="L30" s="26"/>
    </row>
    <row r="31" spans="1:14" s="6" customFormat="1" ht="15.6" x14ac:dyDescent="0.3">
      <c r="A31" s="311" t="s">
        <v>108</v>
      </c>
      <c r="B31" s="312" t="s">
        <v>109</v>
      </c>
      <c r="C31" s="4">
        <v>0</v>
      </c>
      <c r="D31" s="4">
        <v>0</v>
      </c>
      <c r="E31" s="4">
        <v>0</v>
      </c>
      <c r="F31" s="4">
        <v>0</v>
      </c>
      <c r="G31" s="4">
        <v>175.284896</v>
      </c>
      <c r="H31" s="4">
        <v>35.056983000000002</v>
      </c>
      <c r="I31" s="5"/>
      <c r="J31" s="5"/>
    </row>
    <row r="32" spans="1:14" s="6" customFormat="1" ht="15.6" x14ac:dyDescent="0.3">
      <c r="A32" s="311">
        <v>8</v>
      </c>
      <c r="B32" s="312" t="s">
        <v>110</v>
      </c>
      <c r="C32" s="4">
        <v>2300</v>
      </c>
      <c r="D32" s="4">
        <v>0</v>
      </c>
      <c r="E32" s="4">
        <v>2300</v>
      </c>
      <c r="F32" s="4">
        <v>0</v>
      </c>
      <c r="G32" s="4">
        <v>9608.5949670000009</v>
      </c>
      <c r="H32" s="4">
        <v>0</v>
      </c>
      <c r="I32" s="5"/>
      <c r="J32" s="5"/>
    </row>
    <row r="33" spans="1:13" s="6" customFormat="1" ht="15.6" x14ac:dyDescent="0.3">
      <c r="A33" s="311">
        <v>9</v>
      </c>
      <c r="B33" s="312" t="s">
        <v>111</v>
      </c>
      <c r="C33" s="4">
        <v>0</v>
      </c>
      <c r="D33" s="4">
        <v>0</v>
      </c>
      <c r="E33" s="4">
        <v>0</v>
      </c>
      <c r="F33" s="4">
        <v>0</v>
      </c>
      <c r="G33" s="4">
        <v>30</v>
      </c>
      <c r="H33" s="4">
        <v>30</v>
      </c>
      <c r="I33" s="5"/>
      <c r="J33" s="5"/>
    </row>
    <row r="34" spans="1:13" s="27" customFormat="1" ht="15.6" x14ac:dyDescent="0.3">
      <c r="A34" s="23" t="s">
        <v>29</v>
      </c>
      <c r="B34" s="24" t="s">
        <v>112</v>
      </c>
      <c r="C34" s="19">
        <v>2900</v>
      </c>
      <c r="D34" s="19">
        <v>2900</v>
      </c>
      <c r="E34" s="19">
        <v>2900</v>
      </c>
      <c r="F34" s="19">
        <v>2900</v>
      </c>
      <c r="G34" s="19">
        <v>2899.9439929999999</v>
      </c>
      <c r="H34" s="19">
        <v>2899.9439929999999</v>
      </c>
      <c r="I34" s="20">
        <f t="shared" si="2"/>
        <v>99.998068724137923</v>
      </c>
      <c r="J34" s="20">
        <f t="shared" si="3"/>
        <v>99.998068724137923</v>
      </c>
    </row>
    <row r="35" spans="1:13" s="27" customFormat="1" ht="15.6" x14ac:dyDescent="0.3">
      <c r="A35" s="23" t="s">
        <v>83</v>
      </c>
      <c r="B35" s="24" t="s">
        <v>113</v>
      </c>
      <c r="C35" s="19">
        <v>904</v>
      </c>
      <c r="D35" s="19">
        <v>904</v>
      </c>
      <c r="E35" s="19">
        <v>904</v>
      </c>
      <c r="F35" s="19">
        <v>904</v>
      </c>
      <c r="G35" s="19">
        <v>897.32103700000005</v>
      </c>
      <c r="H35" s="19">
        <v>897.32103700000005</v>
      </c>
      <c r="I35" s="20">
        <f t="shared" si="2"/>
        <v>99.261176659292033</v>
      </c>
      <c r="J35" s="20">
        <f t="shared" si="3"/>
        <v>99.261176659292033</v>
      </c>
      <c r="L35" s="32"/>
    </row>
    <row r="36" spans="1:13" s="27" customFormat="1" ht="15.6" x14ac:dyDescent="0.3">
      <c r="A36" s="23" t="s">
        <v>20</v>
      </c>
      <c r="B36" s="24" t="s">
        <v>21</v>
      </c>
      <c r="C36" s="19">
        <f t="shared" ref="C36:F36" si="10">SUM(C37:C39)</f>
        <v>412265.61300000001</v>
      </c>
      <c r="D36" s="19">
        <f t="shared" si="10"/>
        <v>412265.61300000001</v>
      </c>
      <c r="E36" s="19">
        <f t="shared" si="10"/>
        <v>412265.61300000001</v>
      </c>
      <c r="F36" s="19">
        <f t="shared" si="10"/>
        <v>412265.61300000001</v>
      </c>
      <c r="G36" s="19">
        <f>SUM(G37:G39)-1</f>
        <v>420888.64601299999</v>
      </c>
      <c r="H36" s="19">
        <f>SUM(H37:H39)-1</f>
        <v>420888.64601299999</v>
      </c>
      <c r="I36" s="20">
        <f t="shared" si="2"/>
        <v>102.09162072729067</v>
      </c>
      <c r="J36" s="20">
        <f t="shared" si="3"/>
        <v>102.09162072729067</v>
      </c>
    </row>
    <row r="37" spans="1:13" s="6" customFormat="1" ht="15.6" x14ac:dyDescent="0.3">
      <c r="A37" s="33">
        <v>1</v>
      </c>
      <c r="B37" s="34" t="s">
        <v>22</v>
      </c>
      <c r="C37" s="4">
        <v>27715</v>
      </c>
      <c r="D37" s="4">
        <f>C37</f>
        <v>27715</v>
      </c>
      <c r="E37" s="4">
        <v>27715</v>
      </c>
      <c r="F37" s="4">
        <f>E37</f>
        <v>27715</v>
      </c>
      <c r="G37" s="4">
        <v>27715.311999999976</v>
      </c>
      <c r="H37" s="4">
        <f>G37</f>
        <v>27715.311999999976</v>
      </c>
      <c r="I37" s="5">
        <f t="shared" si="2"/>
        <v>100.00112574418176</v>
      </c>
      <c r="J37" s="5">
        <f t="shared" si="3"/>
        <v>100.00112574418176</v>
      </c>
    </row>
    <row r="38" spans="1:13" s="6" customFormat="1" ht="31.2" x14ac:dyDescent="0.3">
      <c r="A38" s="33">
        <v>2</v>
      </c>
      <c r="B38" s="35" t="s">
        <v>173</v>
      </c>
      <c r="C38" s="36">
        <v>327058</v>
      </c>
      <c r="D38" s="4">
        <f>C38</f>
        <v>327058</v>
      </c>
      <c r="E38" s="36">
        <v>327058</v>
      </c>
      <c r="F38" s="4">
        <f>E38</f>
        <v>327058</v>
      </c>
      <c r="G38" s="4">
        <v>327058</v>
      </c>
      <c r="H38" s="4">
        <f>G38</f>
        <v>327058</v>
      </c>
      <c r="I38" s="5">
        <f t="shared" si="2"/>
        <v>100</v>
      </c>
      <c r="J38" s="5">
        <f t="shared" si="3"/>
        <v>100</v>
      </c>
      <c r="M38" s="21"/>
    </row>
    <row r="39" spans="1:13" s="6" customFormat="1" ht="15.6" x14ac:dyDescent="0.3">
      <c r="A39" s="33">
        <v>3</v>
      </c>
      <c r="B39" s="34" t="s">
        <v>23</v>
      </c>
      <c r="C39" s="36">
        <v>57492.612999999998</v>
      </c>
      <c r="D39" s="4">
        <f>C39</f>
        <v>57492.612999999998</v>
      </c>
      <c r="E39" s="36">
        <v>57492.612999999998</v>
      </c>
      <c r="F39" s="4">
        <f>E39</f>
        <v>57492.612999999998</v>
      </c>
      <c r="G39" s="4">
        <v>66116.334013</v>
      </c>
      <c r="H39" s="4">
        <f>G39</f>
        <v>66116.334013</v>
      </c>
      <c r="I39" s="5">
        <f t="shared" si="2"/>
        <v>114.99970268006432</v>
      </c>
      <c r="J39" s="5">
        <f t="shared" si="3"/>
        <v>114.99970268006432</v>
      </c>
      <c r="M39" s="37"/>
    </row>
    <row r="40" spans="1:13" x14ac:dyDescent="0.3">
      <c r="C40" s="38"/>
      <c r="D40" s="39"/>
      <c r="E40" s="38"/>
      <c r="F40" s="39"/>
      <c r="G40" s="40"/>
      <c r="H40" s="40"/>
      <c r="I40" s="41"/>
      <c r="J40" s="41"/>
    </row>
    <row r="41" spans="1:13" x14ac:dyDescent="0.3">
      <c r="A41" s="42"/>
      <c r="B41" s="42"/>
      <c r="D41" s="43"/>
      <c r="E41" s="43"/>
      <c r="F41" s="43"/>
      <c r="G41" s="44"/>
      <c r="H41" s="325" t="s">
        <v>114</v>
      </c>
      <c r="I41" s="325"/>
      <c r="J41" s="325"/>
    </row>
    <row r="42" spans="1:13" x14ac:dyDescent="0.3">
      <c r="A42" s="42"/>
      <c r="B42" s="42"/>
      <c r="D42" s="43"/>
    </row>
    <row r="43" spans="1:13" x14ac:dyDescent="0.3">
      <c r="G43" s="43"/>
    </row>
  </sheetData>
  <mergeCells count="15">
    <mergeCell ref="H6:J6"/>
    <mergeCell ref="A1:C1"/>
    <mergeCell ref="I1:J1"/>
    <mergeCell ref="A2:C2"/>
    <mergeCell ref="A4:J4"/>
    <mergeCell ref="A5:J5"/>
    <mergeCell ref="J7:J8"/>
    <mergeCell ref="A10:B10"/>
    <mergeCell ref="H41:J41"/>
    <mergeCell ref="A7:A8"/>
    <mergeCell ref="B7:B8"/>
    <mergeCell ref="C7:D7"/>
    <mergeCell ref="E7:F7"/>
    <mergeCell ref="G7:H7"/>
    <mergeCell ref="I7:I8"/>
  </mergeCells>
  <pageMargins left="0.45" right="0.45" top="0.5" bottom="0.2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I139"/>
  <sheetViews>
    <sheetView topLeftCell="A116" zoomScaleNormal="100" workbookViewId="0">
      <selection activeCell="A12" sqref="A12:XFD12"/>
    </sheetView>
  </sheetViews>
  <sheetFormatPr defaultColWidth="8.88671875" defaultRowHeight="15.6" x14ac:dyDescent="0.3"/>
  <cols>
    <col min="1" max="1" width="5" style="96" customWidth="1"/>
    <col min="2" max="2" width="42.77734375" style="96" customWidth="1"/>
    <col min="3" max="3" width="11.33203125" style="96" customWidth="1"/>
    <col min="4" max="4" width="11" style="96" customWidth="1"/>
    <col min="5" max="5" width="10" style="96" customWidth="1"/>
    <col min="6" max="6" width="9.77734375" style="96" customWidth="1"/>
    <col min="7" max="7" width="9" style="96" bestFit="1" customWidth="1"/>
    <col min="8" max="8" width="8.6640625" style="96" customWidth="1"/>
    <col min="9" max="9" width="12.88671875" style="96" customWidth="1"/>
    <col min="10" max="10" width="8.88671875" style="96"/>
    <col min="11" max="11" width="15.21875" style="96" customWidth="1"/>
    <col min="12" max="12" width="8.88671875" style="96"/>
    <col min="13" max="13" width="16.109375" style="96" customWidth="1"/>
    <col min="14" max="14" width="15.21875" style="96" customWidth="1"/>
    <col min="15" max="15" width="13.77734375" style="96" bestFit="1" customWidth="1"/>
    <col min="16" max="16384" width="8.88671875" style="96"/>
  </cols>
  <sheetData>
    <row r="1" spans="1:191" ht="16.2" customHeight="1" x14ac:dyDescent="0.3">
      <c r="A1" s="330" t="s">
        <v>24</v>
      </c>
      <c r="B1" s="330"/>
      <c r="C1" s="95"/>
      <c r="D1" s="328"/>
      <c r="E1" s="328"/>
      <c r="F1" s="328"/>
      <c r="G1" s="328"/>
    </row>
    <row r="2" spans="1:191" x14ac:dyDescent="0.3">
      <c r="A2" s="330" t="s">
        <v>25</v>
      </c>
      <c r="B2" s="330"/>
    </row>
    <row r="3" spans="1:191" ht="6.6" customHeight="1" x14ac:dyDescent="0.3">
      <c r="A3" s="94"/>
      <c r="B3" s="94"/>
    </row>
    <row r="4" spans="1:191" ht="16.8" x14ac:dyDescent="0.3">
      <c r="A4" s="327" t="s">
        <v>316</v>
      </c>
      <c r="B4" s="327"/>
      <c r="C4" s="327"/>
      <c r="D4" s="327"/>
      <c r="E4" s="327"/>
      <c r="F4" s="327"/>
      <c r="G4" s="327"/>
    </row>
    <row r="5" spans="1:191" ht="16.8" x14ac:dyDescent="0.3">
      <c r="A5" s="329" t="s">
        <v>174</v>
      </c>
      <c r="B5" s="329"/>
      <c r="C5" s="329"/>
      <c r="D5" s="329"/>
      <c r="E5" s="329"/>
      <c r="F5" s="329"/>
      <c r="G5" s="329"/>
    </row>
    <row r="6" spans="1:191" ht="18.600000000000001" customHeight="1" x14ac:dyDescent="0.3">
      <c r="A6" s="16"/>
      <c r="B6" s="97"/>
      <c r="C6" s="98"/>
      <c r="D6" s="331" t="s">
        <v>26</v>
      </c>
      <c r="E6" s="331"/>
      <c r="F6" s="331"/>
      <c r="G6" s="331"/>
    </row>
    <row r="7" spans="1:191" s="101" customFormat="1" ht="14.4" customHeight="1" x14ac:dyDescent="0.3">
      <c r="A7" s="332" t="s">
        <v>1</v>
      </c>
      <c r="B7" s="332" t="s">
        <v>2</v>
      </c>
      <c r="C7" s="333" t="s">
        <v>115</v>
      </c>
      <c r="D7" s="333" t="s">
        <v>116</v>
      </c>
      <c r="E7" s="335" t="s">
        <v>117</v>
      </c>
      <c r="F7" s="335"/>
      <c r="G7" s="336" t="s">
        <v>118</v>
      </c>
    </row>
    <row r="8" spans="1:191" s="101" customFormat="1" ht="40.200000000000003" customHeight="1" x14ac:dyDescent="0.3">
      <c r="A8" s="332"/>
      <c r="B8" s="332"/>
      <c r="C8" s="334"/>
      <c r="D8" s="334"/>
      <c r="E8" s="100" t="s">
        <v>119</v>
      </c>
      <c r="F8" s="100" t="s">
        <v>177</v>
      </c>
      <c r="G8" s="336"/>
      <c r="M8" s="102"/>
      <c r="N8" s="102"/>
      <c r="O8" s="102"/>
    </row>
    <row r="9" spans="1:191" s="104" customFormat="1" x14ac:dyDescent="0.3">
      <c r="A9" s="99"/>
      <c r="B9" s="99" t="s">
        <v>4</v>
      </c>
      <c r="C9" s="93">
        <f>C10+C12+C92+C94+C102+C103+C104+C107+C110+C130+1</f>
        <v>447988.40108932403</v>
      </c>
      <c r="D9" s="93">
        <f>D10+D12+D92+D94+D102+D103+D104+D107+D110+D130-1</f>
        <v>473093.9762187798</v>
      </c>
      <c r="E9" s="93">
        <f>E10+E12+E92+E94+E102+E103+E104+E107+E110+E130</f>
        <v>314658.81552945584</v>
      </c>
      <c r="F9" s="93">
        <f>F10+F12+F92+F94+F102+F103+F104+F107+F110+F130</f>
        <v>158435.160689324</v>
      </c>
      <c r="G9" s="103">
        <f>D9/C9*100</f>
        <v>105.6040681116764</v>
      </c>
      <c r="I9" s="318"/>
      <c r="J9" s="319"/>
      <c r="K9" s="106"/>
      <c r="M9" s="107"/>
      <c r="N9" s="320"/>
      <c r="O9" s="107"/>
    </row>
    <row r="10" spans="1:191" s="111" customFormat="1" ht="15.6" customHeight="1" x14ac:dyDescent="0.3">
      <c r="A10" s="108" t="s">
        <v>5</v>
      </c>
      <c r="B10" s="109" t="s">
        <v>27</v>
      </c>
      <c r="C10" s="110">
        <f>C11</f>
        <v>25354.799999999999</v>
      </c>
      <c r="D10" s="110">
        <f>D11</f>
        <v>10777.871999999999</v>
      </c>
      <c r="E10" s="110">
        <f>E11</f>
        <v>10174.964</v>
      </c>
      <c r="F10" s="110">
        <f>F11</f>
        <v>602.90800000000002</v>
      </c>
      <c r="G10" s="103">
        <f t="shared" ref="G10:G73" si="0">D10/C10*100</f>
        <v>42.508211462918261</v>
      </c>
      <c r="M10" s="107"/>
      <c r="N10" s="107"/>
    </row>
    <row r="11" spans="1:191" s="104" customFormat="1" ht="15.6" customHeight="1" x14ac:dyDescent="0.3">
      <c r="A11" s="112">
        <v>1</v>
      </c>
      <c r="B11" s="113" t="s">
        <v>28</v>
      </c>
      <c r="C11" s="114">
        <f>25354.8</f>
        <v>25354.799999999999</v>
      </c>
      <c r="D11" s="114">
        <f>E11+F11</f>
        <v>10777.871999999999</v>
      </c>
      <c r="E11" s="115">
        <v>10174.964</v>
      </c>
      <c r="F11" s="116">
        <v>602.90800000000002</v>
      </c>
      <c r="G11" s="117">
        <f t="shared" si="0"/>
        <v>42.508211462918261</v>
      </c>
      <c r="K11" s="118"/>
    </row>
    <row r="12" spans="1:191" s="111" customFormat="1" ht="15.6" customHeight="1" x14ac:dyDescent="0.3">
      <c r="A12" s="119" t="s">
        <v>29</v>
      </c>
      <c r="B12" s="120" t="s">
        <v>30</v>
      </c>
      <c r="C12" s="121">
        <f>C13+C18+C22+C24+C29+C37+C40+C42+C85+C91</f>
        <v>360133.01578232402</v>
      </c>
      <c r="D12" s="121">
        <f>D13+D18+D22+D24+D29+D37+D40+D42+D85+D91+1</f>
        <v>365208.40207377984</v>
      </c>
      <c r="E12" s="121">
        <f>E13+E18+E22+E24+E29+E37+E40+E42+E85+E91</f>
        <v>284080.10486145585</v>
      </c>
      <c r="F12" s="121">
        <f>F13+F18+F22+F24+F29+F37+F40+F42+F85+F91</f>
        <v>81127.297212324018</v>
      </c>
      <c r="G12" s="117">
        <f t="shared" si="0"/>
        <v>101.40930880231306</v>
      </c>
      <c r="I12" s="107"/>
      <c r="J12" s="107"/>
      <c r="O12" s="315"/>
    </row>
    <row r="13" spans="1:191" s="104" customFormat="1" ht="15.6" customHeight="1" x14ac:dyDescent="0.3">
      <c r="A13" s="122">
        <v>1</v>
      </c>
      <c r="B13" s="120" t="s">
        <v>31</v>
      </c>
      <c r="C13" s="121">
        <f>C14+C15</f>
        <v>1546.181</v>
      </c>
      <c r="D13" s="121">
        <f>D14+D15</f>
        <v>1579.271</v>
      </c>
      <c r="E13" s="121">
        <f>E14+E15</f>
        <v>840.4860000000001</v>
      </c>
      <c r="F13" s="121">
        <f>F14+F15</f>
        <v>738.78499999999997</v>
      </c>
      <c r="G13" s="103">
        <f t="shared" si="0"/>
        <v>102.14011166868562</v>
      </c>
      <c r="O13" s="105"/>
    </row>
    <row r="14" spans="1:191" s="104" customFormat="1" ht="15.6" customHeight="1" x14ac:dyDescent="0.3">
      <c r="A14" s="123" t="s">
        <v>32</v>
      </c>
      <c r="B14" s="124" t="s">
        <v>33</v>
      </c>
      <c r="C14" s="125">
        <v>304</v>
      </c>
      <c r="D14" s="125">
        <f>E14+F14</f>
        <v>304.30500000000006</v>
      </c>
      <c r="E14" s="126">
        <v>133.30500000000004</v>
      </c>
      <c r="F14" s="127">
        <f>110+61</f>
        <v>171</v>
      </c>
      <c r="G14" s="128">
        <f t="shared" si="0"/>
        <v>100.10032894736844</v>
      </c>
      <c r="K14" s="105"/>
    </row>
    <row r="15" spans="1:191" s="104" customFormat="1" ht="13.8" x14ac:dyDescent="0.3">
      <c r="A15" s="123" t="s">
        <v>32</v>
      </c>
      <c r="B15" s="129" t="s">
        <v>34</v>
      </c>
      <c r="C15" s="130">
        <f>C16+C17</f>
        <v>1242.181</v>
      </c>
      <c r="D15" s="130">
        <f>D16+D17</f>
        <v>1274.9659999999999</v>
      </c>
      <c r="E15" s="130">
        <f>E16+E17</f>
        <v>707.18100000000004</v>
      </c>
      <c r="F15" s="130">
        <f>F16+F17</f>
        <v>567.78499999999997</v>
      </c>
      <c r="G15" s="128">
        <f t="shared" si="0"/>
        <v>102.63930940821022</v>
      </c>
      <c r="K15" s="105"/>
    </row>
    <row r="16" spans="1:191" s="104" customFormat="1" ht="27.6" hidden="1" x14ac:dyDescent="0.3">
      <c r="A16" s="131"/>
      <c r="B16" s="132" t="s">
        <v>120</v>
      </c>
      <c r="C16" s="133">
        <f>807.181</f>
        <v>807.18100000000004</v>
      </c>
      <c r="D16" s="133">
        <f>E16+F16</f>
        <v>839.96600000000001</v>
      </c>
      <c r="E16" s="134">
        <v>707.18100000000004</v>
      </c>
      <c r="F16" s="127">
        <f>C16-E16+32.785</f>
        <v>132.785</v>
      </c>
      <c r="G16" s="128">
        <f t="shared" si="0"/>
        <v>104.06166646638115</v>
      </c>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row>
    <row r="17" spans="1:191" s="104" customFormat="1" ht="41.4" hidden="1" x14ac:dyDescent="0.3">
      <c r="A17" s="131"/>
      <c r="B17" s="132" t="s">
        <v>121</v>
      </c>
      <c r="C17" s="133">
        <f>435</f>
        <v>435</v>
      </c>
      <c r="D17" s="133">
        <f>E17+F17</f>
        <v>435</v>
      </c>
      <c r="E17" s="136">
        <v>0</v>
      </c>
      <c r="F17" s="127">
        <f>C17-E17</f>
        <v>435</v>
      </c>
      <c r="G17" s="128">
        <f t="shared" si="0"/>
        <v>100</v>
      </c>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5"/>
      <c r="DD17" s="135"/>
      <c r="DE17" s="135"/>
      <c r="DF17" s="135"/>
      <c r="DG17" s="135"/>
      <c r="DH17" s="135"/>
      <c r="DI17" s="135"/>
      <c r="DJ17" s="135"/>
      <c r="DK17" s="135"/>
      <c r="DL17" s="135"/>
      <c r="DM17" s="135"/>
      <c r="DN17" s="135"/>
      <c r="DO17" s="135"/>
      <c r="DP17" s="135"/>
      <c r="DQ17" s="135"/>
      <c r="DR17" s="135"/>
      <c r="DS17" s="135"/>
      <c r="DT17" s="135"/>
      <c r="DU17" s="135"/>
      <c r="DV17" s="135"/>
      <c r="DW17" s="135"/>
      <c r="DX17" s="135"/>
      <c r="DY17" s="135"/>
      <c r="DZ17" s="135"/>
      <c r="EA17" s="135"/>
      <c r="EB17" s="135"/>
      <c r="EC17" s="135"/>
      <c r="ED17" s="135"/>
      <c r="EE17" s="135"/>
      <c r="EF17" s="135"/>
      <c r="EG17" s="135"/>
      <c r="EH17" s="135"/>
      <c r="EI17" s="135"/>
      <c r="EJ17" s="135"/>
      <c r="EK17" s="135"/>
      <c r="EL17" s="135"/>
      <c r="EM17" s="135"/>
      <c r="EN17" s="135"/>
      <c r="EO17" s="135"/>
      <c r="EP17" s="135"/>
      <c r="EQ17" s="135"/>
      <c r="ER17" s="135"/>
      <c r="ES17" s="135"/>
      <c r="ET17" s="135"/>
      <c r="EU17" s="135"/>
      <c r="EV17" s="135"/>
      <c r="EW17" s="135"/>
      <c r="EX17" s="135"/>
      <c r="EY17" s="135"/>
      <c r="EZ17" s="135"/>
      <c r="FA17" s="135"/>
      <c r="FB17" s="135"/>
      <c r="FC17" s="135"/>
      <c r="FD17" s="135"/>
      <c r="FE17" s="135"/>
      <c r="FF17" s="135"/>
      <c r="FG17" s="135"/>
      <c r="FH17" s="135"/>
      <c r="FI17" s="135"/>
      <c r="FJ17" s="135"/>
      <c r="FK17" s="135"/>
      <c r="FL17" s="135"/>
      <c r="FM17" s="135"/>
      <c r="FN17" s="135"/>
      <c r="FO17" s="135"/>
      <c r="FP17" s="135"/>
      <c r="FQ17" s="135"/>
      <c r="FR17" s="135"/>
      <c r="FS17" s="135"/>
      <c r="FT17" s="135"/>
      <c r="FU17" s="135"/>
      <c r="FV17" s="135"/>
      <c r="FW17" s="135"/>
      <c r="FX17" s="135"/>
      <c r="FY17" s="135"/>
      <c r="FZ17" s="135"/>
      <c r="GA17" s="135"/>
      <c r="GB17" s="135"/>
      <c r="GC17" s="135"/>
      <c r="GD17" s="135"/>
      <c r="GE17" s="135"/>
      <c r="GF17" s="135"/>
      <c r="GG17" s="135"/>
      <c r="GH17" s="135"/>
      <c r="GI17" s="135"/>
    </row>
    <row r="18" spans="1:191" s="111" customFormat="1" ht="13.8" x14ac:dyDescent="0.3">
      <c r="A18" s="137">
        <v>2</v>
      </c>
      <c r="B18" s="138" t="s">
        <v>35</v>
      </c>
      <c r="C18" s="121">
        <f>+SUM(C19:C21)</f>
        <v>96899.16</v>
      </c>
      <c r="D18" s="121">
        <f>+SUM(D19:D21)</f>
        <v>96675.366999999998</v>
      </c>
      <c r="E18" s="121">
        <f>+SUM(E19:E21)</f>
        <v>47622.204164000002</v>
      </c>
      <c r="F18" s="121">
        <f>+SUM(F19:F21)</f>
        <v>49053.162835999996</v>
      </c>
      <c r="G18" s="117">
        <f t="shared" si="0"/>
        <v>99.769045469537616</v>
      </c>
    </row>
    <row r="19" spans="1:191" s="104" customFormat="1" ht="16.8" customHeight="1" x14ac:dyDescent="0.3">
      <c r="A19" s="139" t="s">
        <v>32</v>
      </c>
      <c r="B19" s="124" t="s">
        <v>36</v>
      </c>
      <c r="C19" s="140">
        <v>94792</v>
      </c>
      <c r="D19" s="140">
        <f>E19+F19</f>
        <v>94568.206999999995</v>
      </c>
      <c r="E19" s="140">
        <v>46496.084164</v>
      </c>
      <c r="F19" s="141">
        <v>48072.122835999995</v>
      </c>
      <c r="G19" s="117">
        <f t="shared" si="0"/>
        <v>99.76391151151995</v>
      </c>
      <c r="I19" s="118"/>
      <c r="J19" s="118"/>
    </row>
    <row r="20" spans="1:191" s="104" customFormat="1" ht="16.8" customHeight="1" x14ac:dyDescent="0.3">
      <c r="A20" s="139" t="s">
        <v>32</v>
      </c>
      <c r="B20" s="124" t="s">
        <v>57</v>
      </c>
      <c r="C20" s="130">
        <v>56.16</v>
      </c>
      <c r="D20" s="140">
        <f>E20+F20</f>
        <v>56.16</v>
      </c>
      <c r="E20" s="130">
        <v>42.12</v>
      </c>
      <c r="F20" s="141">
        <f>C20-E20</f>
        <v>14.04</v>
      </c>
      <c r="G20" s="128">
        <f t="shared" si="0"/>
        <v>100</v>
      </c>
    </row>
    <row r="21" spans="1:191" s="104" customFormat="1" ht="16.8" customHeight="1" x14ac:dyDescent="0.3">
      <c r="A21" s="139" t="s">
        <v>32</v>
      </c>
      <c r="B21" s="124" t="s">
        <v>37</v>
      </c>
      <c r="C21" s="130">
        <v>2051</v>
      </c>
      <c r="D21" s="140">
        <f>E21+F21</f>
        <v>2051</v>
      </c>
      <c r="E21" s="130">
        <v>1084</v>
      </c>
      <c r="F21" s="142">
        <f>C21-E21</f>
        <v>967</v>
      </c>
      <c r="G21" s="128">
        <f t="shared" si="0"/>
        <v>100</v>
      </c>
    </row>
    <row r="22" spans="1:191" s="111" customFormat="1" ht="16.8" customHeight="1" x14ac:dyDescent="0.3">
      <c r="A22" s="137">
        <v>3</v>
      </c>
      <c r="B22" s="138" t="s">
        <v>40</v>
      </c>
      <c r="C22" s="121">
        <f>C23</f>
        <v>1002</v>
      </c>
      <c r="D22" s="121">
        <f>D23</f>
        <v>995.61160199999995</v>
      </c>
      <c r="E22" s="121">
        <f>E23</f>
        <v>0</v>
      </c>
      <c r="F22" s="121">
        <f>F23</f>
        <v>995.61160199999995</v>
      </c>
      <c r="G22" s="103">
        <f t="shared" si="0"/>
        <v>99.362435329341309</v>
      </c>
    </row>
    <row r="23" spans="1:191" s="104" customFormat="1" ht="27.6" x14ac:dyDescent="0.3">
      <c r="A23" s="143"/>
      <c r="B23" s="144" t="s">
        <v>122</v>
      </c>
      <c r="C23" s="130">
        <v>1002</v>
      </c>
      <c r="D23" s="130">
        <f>E23+F23</f>
        <v>995.61160199999995</v>
      </c>
      <c r="E23" s="130">
        <v>0</v>
      </c>
      <c r="F23" s="127">
        <v>995.61160199999995</v>
      </c>
      <c r="G23" s="117">
        <f t="shared" si="0"/>
        <v>99.362435329341309</v>
      </c>
    </row>
    <row r="24" spans="1:191" s="111" customFormat="1" ht="27.6" x14ac:dyDescent="0.3">
      <c r="A24" s="122">
        <v>4</v>
      </c>
      <c r="B24" s="120" t="s">
        <v>41</v>
      </c>
      <c r="C24" s="145">
        <f>SUM(C25:C28)</f>
        <v>534.20000000000005</v>
      </c>
      <c r="D24" s="145">
        <f>SUM(D25:D28)</f>
        <v>563.95906200000013</v>
      </c>
      <c r="E24" s="145">
        <f>SUM(E25:E28)</f>
        <v>240.1</v>
      </c>
      <c r="F24" s="145">
        <f>SUM(F25:F28)</f>
        <v>323.85906200000005</v>
      </c>
      <c r="G24" s="103">
        <f t="shared" si="0"/>
        <v>105.5707716211157</v>
      </c>
    </row>
    <row r="25" spans="1:191" s="104" customFormat="1" ht="15.6" customHeight="1" x14ac:dyDescent="0.3">
      <c r="A25" s="143" t="s">
        <v>32</v>
      </c>
      <c r="B25" s="144" t="s">
        <v>42</v>
      </c>
      <c r="C25" s="130">
        <v>240</v>
      </c>
      <c r="D25" s="130">
        <f>E25+F25</f>
        <v>233.31040000000002</v>
      </c>
      <c r="E25" s="130">
        <v>199</v>
      </c>
      <c r="F25" s="127">
        <v>34.310400000000001</v>
      </c>
      <c r="G25" s="128">
        <f t="shared" si="0"/>
        <v>97.212666666666664</v>
      </c>
    </row>
    <row r="26" spans="1:191" s="104" customFormat="1" ht="15.6" customHeight="1" x14ac:dyDescent="0.3">
      <c r="A26" s="143" t="s">
        <v>32</v>
      </c>
      <c r="B26" s="144" t="s">
        <v>123</v>
      </c>
      <c r="C26" s="130">
        <v>120</v>
      </c>
      <c r="D26" s="130">
        <f>E26+F26</f>
        <v>156.44866200000001</v>
      </c>
      <c r="E26" s="130">
        <v>0</v>
      </c>
      <c r="F26" s="127">
        <v>156.44866200000001</v>
      </c>
      <c r="G26" s="128">
        <f t="shared" si="0"/>
        <v>130.373885</v>
      </c>
    </row>
    <row r="27" spans="1:191" s="104" customFormat="1" ht="15.6" customHeight="1" x14ac:dyDescent="0.3">
      <c r="A27" s="143" t="s">
        <v>32</v>
      </c>
      <c r="B27" s="144" t="s">
        <v>124</v>
      </c>
      <c r="C27" s="130">
        <v>155</v>
      </c>
      <c r="D27" s="130">
        <f>E27+F27</f>
        <v>155</v>
      </c>
      <c r="E27" s="316">
        <v>37.5</v>
      </c>
      <c r="F27" s="127">
        <v>117.5</v>
      </c>
      <c r="G27" s="128">
        <f t="shared" si="0"/>
        <v>100</v>
      </c>
    </row>
    <row r="28" spans="1:191" s="104" customFormat="1" ht="15.6" customHeight="1" x14ac:dyDescent="0.3">
      <c r="A28" s="143" t="s">
        <v>32</v>
      </c>
      <c r="B28" s="144" t="s">
        <v>43</v>
      </c>
      <c r="C28" s="174">
        <v>19.2</v>
      </c>
      <c r="D28" s="174">
        <f>E28+F28</f>
        <v>19.2</v>
      </c>
      <c r="E28" s="130">
        <v>3.6</v>
      </c>
      <c r="F28" s="127">
        <v>15.6</v>
      </c>
      <c r="G28" s="128">
        <f t="shared" si="0"/>
        <v>100</v>
      </c>
    </row>
    <row r="29" spans="1:191" s="111" customFormat="1" ht="15.6" customHeight="1" x14ac:dyDescent="0.3">
      <c r="A29" s="122">
        <v>5</v>
      </c>
      <c r="B29" s="120" t="s">
        <v>44</v>
      </c>
      <c r="C29" s="145">
        <f>SUM(C30:C36)</f>
        <v>8390.9948000000004</v>
      </c>
      <c r="D29" s="145">
        <f>SUM(D30:D36)</f>
        <v>5985.76818</v>
      </c>
      <c r="E29" s="145">
        <f>SUM(E30:E36)</f>
        <v>636.12239999999997</v>
      </c>
      <c r="F29" s="145">
        <f>SUM(F30:F36)</f>
        <v>5349.6457799999998</v>
      </c>
      <c r="G29" s="103">
        <f t="shared" si="0"/>
        <v>71.335620181769144</v>
      </c>
    </row>
    <row r="30" spans="1:191" s="104" customFormat="1" ht="27.6" x14ac:dyDescent="0.3">
      <c r="A30" s="143" t="s">
        <v>32</v>
      </c>
      <c r="B30" s="144" t="s">
        <v>125</v>
      </c>
      <c r="C30" s="130">
        <v>778.74479999999994</v>
      </c>
      <c r="D30" s="130">
        <f t="shared" ref="D30:D36" si="1">E30+F30</f>
        <v>808.6241</v>
      </c>
      <c r="E30" s="130">
        <v>389.37239999999997</v>
      </c>
      <c r="F30" s="127">
        <v>419.25170000000003</v>
      </c>
      <c r="G30" s="128">
        <f t="shared" si="0"/>
        <v>103.83685387048492</v>
      </c>
    </row>
    <row r="31" spans="1:191" s="104" customFormat="1" ht="15.6" customHeight="1" x14ac:dyDescent="0.3">
      <c r="A31" s="143" t="s">
        <v>32</v>
      </c>
      <c r="B31" s="144" t="s">
        <v>126</v>
      </c>
      <c r="C31" s="130">
        <v>6.75</v>
      </c>
      <c r="D31" s="130">
        <f t="shared" si="1"/>
        <v>2.25</v>
      </c>
      <c r="E31" s="130">
        <v>2.25</v>
      </c>
      <c r="F31" s="127">
        <v>0</v>
      </c>
      <c r="G31" s="117">
        <f t="shared" si="0"/>
        <v>33.333333333333329</v>
      </c>
    </row>
    <row r="32" spans="1:191" s="104" customFormat="1" ht="15.6" customHeight="1" x14ac:dyDescent="0.3">
      <c r="A32" s="143" t="s">
        <v>32</v>
      </c>
      <c r="B32" s="144" t="s">
        <v>127</v>
      </c>
      <c r="C32" s="130">
        <v>181.5</v>
      </c>
      <c r="D32" s="130">
        <f t="shared" si="1"/>
        <v>181.5</v>
      </c>
      <c r="E32" s="130">
        <v>181.5</v>
      </c>
      <c r="F32" s="127">
        <f>C32-E32</f>
        <v>0</v>
      </c>
      <c r="G32" s="128">
        <f t="shared" si="0"/>
        <v>100</v>
      </c>
    </row>
    <row r="33" spans="1:11" s="104" customFormat="1" ht="15.6" customHeight="1" x14ac:dyDescent="0.3">
      <c r="A33" s="143" t="s">
        <v>32</v>
      </c>
      <c r="B33" s="144" t="s">
        <v>45</v>
      </c>
      <c r="C33" s="130">
        <v>235</v>
      </c>
      <c r="D33" s="130">
        <f t="shared" si="1"/>
        <v>63</v>
      </c>
      <c r="E33" s="130">
        <v>63</v>
      </c>
      <c r="F33" s="127">
        <v>0</v>
      </c>
      <c r="G33" s="117">
        <f t="shared" si="0"/>
        <v>26.808510638297872</v>
      </c>
    </row>
    <row r="34" spans="1:11" s="104" customFormat="1" ht="15.6" customHeight="1" x14ac:dyDescent="0.3">
      <c r="A34" s="143" t="s">
        <v>32</v>
      </c>
      <c r="B34" s="144" t="s">
        <v>128</v>
      </c>
      <c r="C34" s="127">
        <v>181</v>
      </c>
      <c r="D34" s="127">
        <f t="shared" si="1"/>
        <v>163.80000000000001</v>
      </c>
      <c r="E34" s="127"/>
      <c r="F34" s="127">
        <v>163.80000000000001</v>
      </c>
      <c r="G34" s="117">
        <f t="shared" si="0"/>
        <v>90.497237569060786</v>
      </c>
    </row>
    <row r="35" spans="1:11" s="104" customFormat="1" ht="15.6" customHeight="1" x14ac:dyDescent="0.3">
      <c r="A35" s="143" t="s">
        <v>32</v>
      </c>
      <c r="B35" s="144" t="s">
        <v>129</v>
      </c>
      <c r="C35" s="127">
        <v>6925</v>
      </c>
      <c r="D35" s="127">
        <f t="shared" si="1"/>
        <v>4700</v>
      </c>
      <c r="E35" s="127"/>
      <c r="F35" s="127">
        <f>2300+2400</f>
        <v>4700</v>
      </c>
      <c r="G35" s="117">
        <f t="shared" si="0"/>
        <v>67.870036101083031</v>
      </c>
    </row>
    <row r="36" spans="1:11" s="104" customFormat="1" ht="15.6" customHeight="1" x14ac:dyDescent="0.3">
      <c r="A36" s="143" t="s">
        <v>32</v>
      </c>
      <c r="B36" s="144" t="s">
        <v>130</v>
      </c>
      <c r="C36" s="130">
        <v>83</v>
      </c>
      <c r="D36" s="130">
        <f t="shared" si="1"/>
        <v>66.594080000000005</v>
      </c>
      <c r="E36" s="130">
        <v>0</v>
      </c>
      <c r="F36" s="127">
        <v>66.594080000000005</v>
      </c>
      <c r="G36" s="117">
        <f t="shared" si="0"/>
        <v>80.23383132530121</v>
      </c>
    </row>
    <row r="37" spans="1:11" s="104" customFormat="1" ht="15.6" customHeight="1" x14ac:dyDescent="0.3">
      <c r="A37" s="122">
        <v>6</v>
      </c>
      <c r="B37" s="120" t="s">
        <v>46</v>
      </c>
      <c r="C37" s="121">
        <f>+SUM(C38:C39)</f>
        <v>837</v>
      </c>
      <c r="D37" s="121">
        <f>+SUM(D38:D39)</f>
        <v>810.64800000000002</v>
      </c>
      <c r="E37" s="121">
        <f>+SUM(E38:E39)</f>
        <v>650</v>
      </c>
      <c r="F37" s="121">
        <f>+SUM(F38:F39)</f>
        <v>160.648</v>
      </c>
      <c r="G37" s="149">
        <f t="shared" si="0"/>
        <v>96.851612903225814</v>
      </c>
    </row>
    <row r="38" spans="1:11" s="104" customFormat="1" ht="15.6" customHeight="1" x14ac:dyDescent="0.3">
      <c r="A38" s="143" t="s">
        <v>32</v>
      </c>
      <c r="B38" s="144" t="s">
        <v>47</v>
      </c>
      <c r="C38" s="130">
        <v>437</v>
      </c>
      <c r="D38" s="130">
        <f>E38+F38</f>
        <v>410.64800000000002</v>
      </c>
      <c r="E38" s="130">
        <v>250</v>
      </c>
      <c r="F38" s="127">
        <v>160.648</v>
      </c>
      <c r="G38" s="128">
        <f t="shared" si="0"/>
        <v>93.969794050343253</v>
      </c>
    </row>
    <row r="39" spans="1:11" s="104" customFormat="1" ht="15.6" customHeight="1" x14ac:dyDescent="0.3">
      <c r="A39" s="143" t="s">
        <v>32</v>
      </c>
      <c r="B39" s="144" t="s">
        <v>131</v>
      </c>
      <c r="C39" s="128">
        <v>400</v>
      </c>
      <c r="D39" s="128">
        <f>E39+F39</f>
        <v>400</v>
      </c>
      <c r="E39" s="128">
        <v>400</v>
      </c>
      <c r="F39" s="127">
        <f>C39-E39</f>
        <v>0</v>
      </c>
      <c r="G39" s="128">
        <f t="shared" si="0"/>
        <v>100</v>
      </c>
    </row>
    <row r="40" spans="1:11" s="111" customFormat="1" ht="15.6" customHeight="1" x14ac:dyDescent="0.3">
      <c r="A40" s="119">
        <v>7</v>
      </c>
      <c r="B40" s="120" t="s">
        <v>48</v>
      </c>
      <c r="C40" s="121">
        <f>C41</f>
        <v>958.68000000000006</v>
      </c>
      <c r="D40" s="121">
        <f>D41</f>
        <v>730.17041699999993</v>
      </c>
      <c r="E40" s="121">
        <f>E41</f>
        <v>660.37041699999997</v>
      </c>
      <c r="F40" s="121">
        <f>F41</f>
        <v>69.8</v>
      </c>
      <c r="G40" s="128">
        <f t="shared" si="0"/>
        <v>76.164144135686556</v>
      </c>
    </row>
    <row r="41" spans="1:11" s="104" customFormat="1" ht="15.6" customHeight="1" x14ac:dyDescent="0.3">
      <c r="A41" s="146" t="s">
        <v>32</v>
      </c>
      <c r="B41" s="144" t="s">
        <v>49</v>
      </c>
      <c r="C41" s="130">
        <v>958.68000000000006</v>
      </c>
      <c r="D41" s="130">
        <f>E41+F41</f>
        <v>730.17041699999993</v>
      </c>
      <c r="E41" s="130">
        <v>660.37041699999997</v>
      </c>
      <c r="F41" s="148">
        <v>69.8</v>
      </c>
      <c r="G41" s="128">
        <f t="shared" si="0"/>
        <v>76.164144135686556</v>
      </c>
    </row>
    <row r="42" spans="1:11" s="111" customFormat="1" ht="15.6" customHeight="1" x14ac:dyDescent="0.3">
      <c r="A42" s="119">
        <v>8</v>
      </c>
      <c r="B42" s="120" t="s">
        <v>50</v>
      </c>
      <c r="C42" s="121">
        <f>C43+C60+C73</f>
        <v>30357.799982323995</v>
      </c>
      <c r="D42" s="121">
        <f>D43+D60+D73</f>
        <v>29845.169032779839</v>
      </c>
      <c r="E42" s="121">
        <f>E43+E60+E73</f>
        <v>14412.821880455842</v>
      </c>
      <c r="F42" s="121">
        <f>F43+F60+F73</f>
        <v>15432.347152324</v>
      </c>
      <c r="G42" s="103">
        <f t="shared" si="0"/>
        <v>98.311369895570039</v>
      </c>
    </row>
    <row r="43" spans="1:11" s="111" customFormat="1" ht="15.6" customHeight="1" x14ac:dyDescent="0.3">
      <c r="A43" s="119" t="s">
        <v>51</v>
      </c>
      <c r="B43" s="120" t="s">
        <v>52</v>
      </c>
      <c r="C43" s="121">
        <f>SUM(C44:C59)</f>
        <v>17976.049199999998</v>
      </c>
      <c r="D43" s="121">
        <f>SUM(D44:D59)</f>
        <v>17428.306598780626</v>
      </c>
      <c r="E43" s="121">
        <f>SUM(E44:E59)</f>
        <v>9858.6554417806274</v>
      </c>
      <c r="F43" s="121">
        <f>SUM(F44:F59)</f>
        <v>7569.6511570000002</v>
      </c>
      <c r="G43" s="117">
        <f t="shared" si="0"/>
        <v>96.952931118928106</v>
      </c>
    </row>
    <row r="44" spans="1:11" s="111" customFormat="1" ht="15.6" customHeight="1" x14ac:dyDescent="0.25">
      <c r="A44" s="146" t="s">
        <v>32</v>
      </c>
      <c r="B44" s="144" t="s">
        <v>53</v>
      </c>
      <c r="C44" s="127">
        <v>7743.4</v>
      </c>
      <c r="D44" s="127">
        <f>E44+F44</f>
        <v>7126.7526300000009</v>
      </c>
      <c r="E44" s="317">
        <v>3434.2726300000004</v>
      </c>
      <c r="F44" s="148">
        <v>3692.48</v>
      </c>
      <c r="G44" s="117">
        <f t="shared" si="0"/>
        <v>92.036477903763227</v>
      </c>
    </row>
    <row r="45" spans="1:11" s="111" customFormat="1" ht="15.6" customHeight="1" x14ac:dyDescent="0.3">
      <c r="A45" s="146" t="s">
        <v>32</v>
      </c>
      <c r="B45" s="144" t="s">
        <v>38</v>
      </c>
      <c r="C45" s="127">
        <v>1552.8</v>
      </c>
      <c r="D45" s="127">
        <f t="shared" ref="D45:D59" si="2">E45+F45</f>
        <v>1552.860811780627</v>
      </c>
      <c r="E45" s="130">
        <v>728.92681178062696</v>
      </c>
      <c r="F45" s="127">
        <f>2318.934-400-1095</f>
        <v>823.9340000000002</v>
      </c>
      <c r="G45" s="128">
        <f t="shared" si="0"/>
        <v>100.00391626614034</v>
      </c>
      <c r="I45" s="147"/>
      <c r="K45" s="147"/>
    </row>
    <row r="46" spans="1:11" s="111" customFormat="1" ht="15.6" customHeight="1" x14ac:dyDescent="0.3">
      <c r="A46" s="146" t="s">
        <v>54</v>
      </c>
      <c r="B46" s="144" t="s">
        <v>39</v>
      </c>
      <c r="C46" s="127">
        <v>459.15719999999999</v>
      </c>
      <c r="D46" s="127">
        <f t="shared" si="2"/>
        <v>436.82284099999998</v>
      </c>
      <c r="E46" s="130">
        <v>0</v>
      </c>
      <c r="F46" s="127">
        <v>436.82284099999998</v>
      </c>
      <c r="G46" s="117">
        <f t="shared" si="0"/>
        <v>95.135792491111971</v>
      </c>
      <c r="I46" s="147"/>
    </row>
    <row r="47" spans="1:11" s="111" customFormat="1" ht="15.6" customHeight="1" x14ac:dyDescent="0.3">
      <c r="A47" s="146" t="s">
        <v>54</v>
      </c>
      <c r="B47" s="144" t="s">
        <v>132</v>
      </c>
      <c r="C47" s="130">
        <v>1566.864</v>
      </c>
      <c r="D47" s="127">
        <f t="shared" si="2"/>
        <v>1566.864</v>
      </c>
      <c r="E47" s="130">
        <v>783.43200000000002</v>
      </c>
      <c r="F47" s="127">
        <f>C47-E47</f>
        <v>783.43200000000002</v>
      </c>
      <c r="G47" s="128">
        <f t="shared" si="0"/>
        <v>100</v>
      </c>
    </row>
    <row r="48" spans="1:11" s="111" customFormat="1" ht="15.6" customHeight="1" x14ac:dyDescent="0.3">
      <c r="A48" s="146" t="s">
        <v>54</v>
      </c>
      <c r="B48" s="144" t="s">
        <v>55</v>
      </c>
      <c r="C48" s="130">
        <v>1305.72</v>
      </c>
      <c r="D48" s="127">
        <f t="shared" si="2"/>
        <v>1305.72</v>
      </c>
      <c r="E48" s="130">
        <v>652.86</v>
      </c>
      <c r="F48" s="127">
        <f t="shared" ref="F48:F59" si="3">C48-E48</f>
        <v>652.86</v>
      </c>
      <c r="G48" s="128">
        <f t="shared" si="0"/>
        <v>100</v>
      </c>
    </row>
    <row r="49" spans="1:7" s="111" customFormat="1" ht="15.6" customHeight="1" x14ac:dyDescent="0.3">
      <c r="A49" s="146" t="s">
        <v>54</v>
      </c>
      <c r="B49" s="144" t="s">
        <v>56</v>
      </c>
      <c r="C49" s="130">
        <v>70.199999999999989</v>
      </c>
      <c r="D49" s="127">
        <f>E49+F49</f>
        <v>147.41999999999999</v>
      </c>
      <c r="E49" s="130">
        <v>35.099999999999994</v>
      </c>
      <c r="F49" s="127">
        <v>112.32</v>
      </c>
      <c r="G49" s="128">
        <f t="shared" si="0"/>
        <v>210</v>
      </c>
    </row>
    <row r="50" spans="1:7" s="111" customFormat="1" ht="15.6" customHeight="1" x14ac:dyDescent="0.3">
      <c r="A50" s="146" t="s">
        <v>54</v>
      </c>
      <c r="B50" s="144" t="s">
        <v>133</v>
      </c>
      <c r="C50" s="130">
        <v>223.2</v>
      </c>
      <c r="D50" s="127">
        <f t="shared" si="2"/>
        <v>223.2</v>
      </c>
      <c r="E50" s="130">
        <v>111.6</v>
      </c>
      <c r="F50" s="127">
        <f t="shared" si="3"/>
        <v>111.6</v>
      </c>
      <c r="G50" s="128">
        <f t="shared" si="0"/>
        <v>100</v>
      </c>
    </row>
    <row r="51" spans="1:7" s="111" customFormat="1" ht="15.6" customHeight="1" x14ac:dyDescent="0.3">
      <c r="A51" s="146" t="s">
        <v>54</v>
      </c>
      <c r="B51" s="144" t="s">
        <v>58</v>
      </c>
      <c r="C51" s="130">
        <v>435.23999999999995</v>
      </c>
      <c r="D51" s="127">
        <f t="shared" si="2"/>
        <v>435.23999999999995</v>
      </c>
      <c r="E51" s="130">
        <v>217.61999999999998</v>
      </c>
      <c r="F51" s="127">
        <f t="shared" si="3"/>
        <v>217.61999999999998</v>
      </c>
      <c r="G51" s="128">
        <f t="shared" si="0"/>
        <v>100</v>
      </c>
    </row>
    <row r="52" spans="1:7" s="111" customFormat="1" ht="15.6" customHeight="1" x14ac:dyDescent="0.3">
      <c r="A52" s="146" t="s">
        <v>54</v>
      </c>
      <c r="B52" s="144" t="s">
        <v>59</v>
      </c>
      <c r="C52" s="130">
        <v>690.76799999999992</v>
      </c>
      <c r="D52" s="127">
        <f t="shared" si="2"/>
        <v>690.31799999999998</v>
      </c>
      <c r="E52" s="130">
        <v>345.38400000000001</v>
      </c>
      <c r="F52" s="127">
        <v>344.93400000000003</v>
      </c>
      <c r="G52" s="128">
        <f t="shared" si="0"/>
        <v>99.934855117781964</v>
      </c>
    </row>
    <row r="53" spans="1:7" s="111" customFormat="1" ht="15.6" customHeight="1" x14ac:dyDescent="0.3">
      <c r="A53" s="146" t="s">
        <v>32</v>
      </c>
      <c r="B53" s="144" t="s">
        <v>134</v>
      </c>
      <c r="C53" s="130">
        <v>1632</v>
      </c>
      <c r="D53" s="127">
        <f t="shared" si="2"/>
        <v>1652.077</v>
      </c>
      <c r="E53" s="130">
        <v>1632</v>
      </c>
      <c r="F53" s="127">
        <v>20.077000000000002</v>
      </c>
      <c r="G53" s="128">
        <f t="shared" si="0"/>
        <v>101.23020833333334</v>
      </c>
    </row>
    <row r="54" spans="1:7" s="111" customFormat="1" ht="15.6" customHeight="1" x14ac:dyDescent="0.3">
      <c r="A54" s="146" t="s">
        <v>54</v>
      </c>
      <c r="B54" s="144" t="s">
        <v>135</v>
      </c>
      <c r="C54" s="130">
        <v>388.5</v>
      </c>
      <c r="D54" s="127">
        <f t="shared" si="2"/>
        <v>388.5</v>
      </c>
      <c r="E54" s="130">
        <v>194.26</v>
      </c>
      <c r="F54" s="127">
        <f t="shared" si="3"/>
        <v>194.24</v>
      </c>
      <c r="G54" s="128">
        <f t="shared" si="0"/>
        <v>100</v>
      </c>
    </row>
    <row r="55" spans="1:7" s="111" customFormat="1" ht="15.6" customHeight="1" x14ac:dyDescent="0.3">
      <c r="A55" s="146" t="s">
        <v>32</v>
      </c>
      <c r="B55" s="144" t="s">
        <v>136</v>
      </c>
      <c r="C55" s="130">
        <v>40</v>
      </c>
      <c r="D55" s="127">
        <f t="shared" si="2"/>
        <v>39.753915999999997</v>
      </c>
      <c r="E55" s="130">
        <v>0</v>
      </c>
      <c r="F55" s="127">
        <v>39.753915999999997</v>
      </c>
      <c r="G55" s="128">
        <f t="shared" si="0"/>
        <v>99.384789999999995</v>
      </c>
    </row>
    <row r="56" spans="1:7" s="111" customFormat="1" ht="15.6" customHeight="1" x14ac:dyDescent="0.3">
      <c r="A56" s="146" t="s">
        <v>32</v>
      </c>
      <c r="B56" s="144" t="s">
        <v>66</v>
      </c>
      <c r="C56" s="130">
        <v>30</v>
      </c>
      <c r="D56" s="127">
        <f t="shared" si="2"/>
        <v>28.08</v>
      </c>
      <c r="E56" s="130">
        <v>0</v>
      </c>
      <c r="F56" s="127">
        <v>28.08</v>
      </c>
      <c r="G56" s="128">
        <f t="shared" si="0"/>
        <v>93.6</v>
      </c>
    </row>
    <row r="57" spans="1:7" s="111" customFormat="1" ht="15.6" customHeight="1" x14ac:dyDescent="0.3">
      <c r="A57" s="146" t="s">
        <v>32</v>
      </c>
      <c r="B57" s="144" t="s">
        <v>67</v>
      </c>
      <c r="C57" s="130">
        <v>15</v>
      </c>
      <c r="D57" s="127">
        <f t="shared" si="2"/>
        <v>13</v>
      </c>
      <c r="E57" s="130">
        <v>0</v>
      </c>
      <c r="F57" s="127">
        <v>13</v>
      </c>
      <c r="G57" s="128">
        <f t="shared" si="0"/>
        <v>86.666666666666671</v>
      </c>
    </row>
    <row r="58" spans="1:7" s="111" customFormat="1" ht="15.6" customHeight="1" x14ac:dyDescent="0.3">
      <c r="A58" s="146" t="s">
        <v>32</v>
      </c>
      <c r="B58" s="144" t="s">
        <v>137</v>
      </c>
      <c r="C58" s="130">
        <f>100</f>
        <v>100</v>
      </c>
      <c r="D58" s="127">
        <f t="shared" si="2"/>
        <v>98.497399999999999</v>
      </c>
      <c r="E58" s="130">
        <v>0</v>
      </c>
      <c r="F58" s="127">
        <v>98.497399999999999</v>
      </c>
      <c r="G58" s="128">
        <f t="shared" si="0"/>
        <v>98.497399999999999</v>
      </c>
    </row>
    <row r="59" spans="1:7" s="111" customFormat="1" ht="15.6" customHeight="1" x14ac:dyDescent="0.3">
      <c r="A59" s="146" t="s">
        <v>32</v>
      </c>
      <c r="B59" s="144" t="s">
        <v>138</v>
      </c>
      <c r="C59" s="130">
        <v>1723.2</v>
      </c>
      <c r="D59" s="127">
        <f t="shared" si="2"/>
        <v>1723.2</v>
      </c>
      <c r="E59" s="130">
        <v>1723.2</v>
      </c>
      <c r="F59" s="148">
        <f t="shared" si="3"/>
        <v>0</v>
      </c>
      <c r="G59" s="128">
        <f t="shared" si="0"/>
        <v>100</v>
      </c>
    </row>
    <row r="60" spans="1:7" s="111" customFormat="1" ht="15.6" customHeight="1" x14ac:dyDescent="0.3">
      <c r="A60" s="119" t="s">
        <v>68</v>
      </c>
      <c r="B60" s="120" t="s">
        <v>69</v>
      </c>
      <c r="C60" s="121">
        <f>SUM(C61:C72)</f>
        <v>7898.3593103239991</v>
      </c>
      <c r="D60" s="121">
        <f>SUM(D61:D72)</f>
        <v>7899.6720903239993</v>
      </c>
      <c r="E60" s="121">
        <f>SUM(E61:E72)</f>
        <v>2358.9669180000001</v>
      </c>
      <c r="F60" s="121">
        <f>SUM(F61:F72)</f>
        <v>5540.7051723239992</v>
      </c>
      <c r="G60" s="149">
        <f t="shared" si="0"/>
        <v>100.01662092022434</v>
      </c>
    </row>
    <row r="61" spans="1:7" s="111" customFormat="1" ht="15.6" customHeight="1" x14ac:dyDescent="0.25">
      <c r="A61" s="146" t="s">
        <v>32</v>
      </c>
      <c r="B61" s="144" t="s">
        <v>53</v>
      </c>
      <c r="C61" s="127">
        <v>2315.20782568</v>
      </c>
      <c r="D61" s="127">
        <f>E61+F61</f>
        <v>2315.20782568</v>
      </c>
      <c r="E61" s="150">
        <v>749.01183600000002</v>
      </c>
      <c r="F61" s="127">
        <v>1566.1959896799999</v>
      </c>
      <c r="G61" s="128">
        <f t="shared" si="0"/>
        <v>100</v>
      </c>
    </row>
    <row r="62" spans="1:7" s="111" customFormat="1" ht="15.6" customHeight="1" x14ac:dyDescent="0.3">
      <c r="A62" s="146" t="s">
        <v>32</v>
      </c>
      <c r="B62" s="144" t="s">
        <v>38</v>
      </c>
      <c r="C62" s="127">
        <v>383.98026464400004</v>
      </c>
      <c r="D62" s="127">
        <f>E62+F62</f>
        <v>383.98026464400004</v>
      </c>
      <c r="E62" s="130">
        <v>95.303082000000003</v>
      </c>
      <c r="F62" s="127">
        <v>288.67718264400003</v>
      </c>
      <c r="G62" s="128">
        <f t="shared" si="0"/>
        <v>100</v>
      </c>
    </row>
    <row r="63" spans="1:7" s="111" customFormat="1" ht="15.6" customHeight="1" x14ac:dyDescent="0.3">
      <c r="A63" s="146" t="s">
        <v>32</v>
      </c>
      <c r="B63" s="144" t="s">
        <v>139</v>
      </c>
      <c r="C63" s="130">
        <v>1200</v>
      </c>
      <c r="D63" s="127">
        <f t="shared" ref="D63:D72" si="4">E63+F63</f>
        <v>1200</v>
      </c>
      <c r="E63" s="130">
        <v>0</v>
      </c>
      <c r="F63" s="127">
        <f>C63-E63</f>
        <v>1200</v>
      </c>
      <c r="G63" s="128">
        <f t="shared" si="0"/>
        <v>100</v>
      </c>
    </row>
    <row r="64" spans="1:7" s="111" customFormat="1" ht="15.6" customHeight="1" x14ac:dyDescent="0.3">
      <c r="A64" s="146" t="s">
        <v>54</v>
      </c>
      <c r="B64" s="144" t="s">
        <v>70</v>
      </c>
      <c r="C64" s="127">
        <v>200.14722</v>
      </c>
      <c r="D64" s="127">
        <f t="shared" si="4"/>
        <v>199.72</v>
      </c>
      <c r="E64" s="127">
        <v>0</v>
      </c>
      <c r="F64" s="127">
        <v>199.72</v>
      </c>
      <c r="G64" s="128">
        <f t="shared" si="0"/>
        <v>99.786547122663009</v>
      </c>
    </row>
    <row r="65" spans="1:8" s="111" customFormat="1" ht="15.6" customHeight="1" x14ac:dyDescent="0.25">
      <c r="A65" s="146" t="s">
        <v>54</v>
      </c>
      <c r="B65" s="151" t="s">
        <v>71</v>
      </c>
      <c r="C65" s="150">
        <v>185.328</v>
      </c>
      <c r="D65" s="127">
        <f t="shared" si="4"/>
        <v>185.328</v>
      </c>
      <c r="E65" s="150">
        <v>92.663999999999987</v>
      </c>
      <c r="F65" s="127">
        <f t="shared" ref="F65:F72" si="5">C65-E65</f>
        <v>92.664000000000016</v>
      </c>
      <c r="G65" s="128">
        <f t="shared" si="0"/>
        <v>100</v>
      </c>
    </row>
    <row r="66" spans="1:8" s="111" customFormat="1" ht="15.6" customHeight="1" x14ac:dyDescent="0.25">
      <c r="A66" s="146" t="s">
        <v>54</v>
      </c>
      <c r="B66" s="151" t="s">
        <v>140</v>
      </c>
      <c r="C66" s="150">
        <v>1600.56</v>
      </c>
      <c r="D66" s="127">
        <f t="shared" si="4"/>
        <v>1600.56</v>
      </c>
      <c r="E66" s="150">
        <v>800.28</v>
      </c>
      <c r="F66" s="150">
        <v>800.28</v>
      </c>
      <c r="G66" s="128">
        <f t="shared" si="0"/>
        <v>100</v>
      </c>
    </row>
    <row r="67" spans="1:8" s="111" customFormat="1" ht="15.6" customHeight="1" x14ac:dyDescent="0.25">
      <c r="A67" s="146" t="s">
        <v>54</v>
      </c>
      <c r="B67" s="151" t="s">
        <v>60</v>
      </c>
      <c r="C67" s="150">
        <v>800.28</v>
      </c>
      <c r="D67" s="127">
        <f t="shared" si="4"/>
        <v>800.28</v>
      </c>
      <c r="E67" s="150">
        <v>400.14</v>
      </c>
      <c r="F67" s="150">
        <v>400.14</v>
      </c>
      <c r="G67" s="128">
        <f t="shared" si="0"/>
        <v>100</v>
      </c>
    </row>
    <row r="68" spans="1:8" s="111" customFormat="1" ht="15.6" customHeight="1" x14ac:dyDescent="0.25">
      <c r="A68" s="146" t="s">
        <v>54</v>
      </c>
      <c r="B68" s="151" t="s">
        <v>61</v>
      </c>
      <c r="C68" s="150">
        <v>331.34399999999999</v>
      </c>
      <c r="D68" s="127">
        <f t="shared" si="4"/>
        <v>331.34399999999999</v>
      </c>
      <c r="E68" s="150">
        <v>165.672</v>
      </c>
      <c r="F68" s="150">
        <v>165.672</v>
      </c>
      <c r="G68" s="128">
        <f t="shared" si="0"/>
        <v>100</v>
      </c>
    </row>
    <row r="69" spans="1:8" s="111" customFormat="1" ht="15.6" customHeight="1" x14ac:dyDescent="0.25">
      <c r="A69" s="146" t="s">
        <v>54</v>
      </c>
      <c r="B69" s="151" t="s">
        <v>141</v>
      </c>
      <c r="C69" s="150">
        <v>109.512</v>
      </c>
      <c r="D69" s="127">
        <f t="shared" si="4"/>
        <v>109.512</v>
      </c>
      <c r="E69" s="130">
        <v>30.096</v>
      </c>
      <c r="F69" s="127">
        <f t="shared" si="5"/>
        <v>79.415999999999997</v>
      </c>
      <c r="G69" s="128">
        <f t="shared" si="0"/>
        <v>100</v>
      </c>
    </row>
    <row r="70" spans="1:8" s="111" customFormat="1" ht="15.6" customHeight="1" x14ac:dyDescent="0.25">
      <c r="A70" s="146" t="s">
        <v>54</v>
      </c>
      <c r="B70" s="151" t="s">
        <v>142</v>
      </c>
      <c r="C70" s="150">
        <v>200</v>
      </c>
      <c r="D70" s="127">
        <f t="shared" si="4"/>
        <v>200</v>
      </c>
      <c r="E70" s="130">
        <v>25.8</v>
      </c>
      <c r="F70" s="127">
        <f t="shared" si="5"/>
        <v>174.2</v>
      </c>
      <c r="G70" s="128">
        <f t="shared" si="0"/>
        <v>100</v>
      </c>
    </row>
    <row r="71" spans="1:8" s="111" customFormat="1" ht="27.6" x14ac:dyDescent="0.25">
      <c r="A71" s="146" t="s">
        <v>32</v>
      </c>
      <c r="B71" s="152" t="s">
        <v>72</v>
      </c>
      <c r="C71" s="130">
        <v>422</v>
      </c>
      <c r="D71" s="127">
        <f t="shared" si="4"/>
        <v>423.74</v>
      </c>
      <c r="E71" s="130">
        <v>0</v>
      </c>
      <c r="F71" s="127">
        <v>423.74</v>
      </c>
      <c r="G71" s="128">
        <f t="shared" si="0"/>
        <v>100.41232227488153</v>
      </c>
    </row>
    <row r="72" spans="1:8" s="102" customFormat="1" ht="19.2" customHeight="1" x14ac:dyDescent="0.3">
      <c r="A72" s="146" t="s">
        <v>32</v>
      </c>
      <c r="B72" s="153" t="s">
        <v>138</v>
      </c>
      <c r="C72" s="154">
        <v>150</v>
      </c>
      <c r="D72" s="127">
        <f t="shared" si="4"/>
        <v>150</v>
      </c>
      <c r="E72" s="154"/>
      <c r="F72" s="127">
        <f t="shared" si="5"/>
        <v>150</v>
      </c>
      <c r="G72" s="128">
        <f t="shared" si="0"/>
        <v>100</v>
      </c>
    </row>
    <row r="73" spans="1:8" s="111" customFormat="1" ht="15.6" customHeight="1" x14ac:dyDescent="0.3">
      <c r="A73" s="119" t="s">
        <v>73</v>
      </c>
      <c r="B73" s="120" t="s">
        <v>74</v>
      </c>
      <c r="C73" s="121">
        <f>SUM(C74:C84)</f>
        <v>4483.3914720000002</v>
      </c>
      <c r="D73" s="121">
        <f>SUM(D74:D84)</f>
        <v>4517.1903436752136</v>
      </c>
      <c r="E73" s="121">
        <f>SUM(E74:E84)</f>
        <v>2195.199520675214</v>
      </c>
      <c r="F73" s="121">
        <f>SUM(F74:F84)</f>
        <v>2321.9908230000001</v>
      </c>
      <c r="G73" s="149">
        <f t="shared" si="0"/>
        <v>100.75386840266563</v>
      </c>
      <c r="H73" s="147"/>
    </row>
    <row r="74" spans="1:8" s="111" customFormat="1" ht="15.6" customHeight="1" x14ac:dyDescent="0.3">
      <c r="A74" s="146" t="s">
        <v>32</v>
      </c>
      <c r="B74" s="144" t="s">
        <v>53</v>
      </c>
      <c r="C74" s="127">
        <v>2023.5335520000001</v>
      </c>
      <c r="D74" s="127">
        <f>E74+F74</f>
        <v>2023.5335520000001</v>
      </c>
      <c r="E74" s="130">
        <v>1124.0476140000001</v>
      </c>
      <c r="F74" s="127">
        <v>899.48593800000003</v>
      </c>
      <c r="G74" s="128">
        <f t="shared" ref="G74:G121" si="6">D74/C74*100</f>
        <v>100</v>
      </c>
      <c r="H74" s="147"/>
    </row>
    <row r="75" spans="1:8" s="111" customFormat="1" ht="15.6" customHeight="1" x14ac:dyDescent="0.3">
      <c r="A75" s="146" t="s">
        <v>32</v>
      </c>
      <c r="B75" s="144" t="s">
        <v>38</v>
      </c>
      <c r="C75" s="127">
        <v>413</v>
      </c>
      <c r="D75" s="127">
        <f>E75+F75</f>
        <v>411.99785167521361</v>
      </c>
      <c r="E75" s="130">
        <v>238.57990667521369</v>
      </c>
      <c r="F75" s="127">
        <v>173.41794499999992</v>
      </c>
      <c r="G75" s="128">
        <f t="shared" si="6"/>
        <v>99.757349073901608</v>
      </c>
      <c r="H75" s="147"/>
    </row>
    <row r="76" spans="1:8" s="111" customFormat="1" ht="15.6" customHeight="1" x14ac:dyDescent="0.3">
      <c r="A76" s="146" t="s">
        <v>32</v>
      </c>
      <c r="B76" s="144" t="s">
        <v>39</v>
      </c>
      <c r="C76" s="127">
        <v>131.71392</v>
      </c>
      <c r="D76" s="127">
        <f>E76+F76</f>
        <v>118.61694</v>
      </c>
      <c r="E76" s="127"/>
      <c r="F76" s="127">
        <v>118.61694</v>
      </c>
      <c r="G76" s="128">
        <f t="shared" si="6"/>
        <v>90.056495167708931</v>
      </c>
      <c r="H76" s="147"/>
    </row>
    <row r="77" spans="1:8" s="111" customFormat="1" ht="15.6" customHeight="1" x14ac:dyDescent="0.3">
      <c r="A77" s="146" t="s">
        <v>54</v>
      </c>
      <c r="B77" s="144" t="s">
        <v>143</v>
      </c>
      <c r="C77" s="130">
        <v>272.37599999999998</v>
      </c>
      <c r="D77" s="127">
        <f t="shared" ref="D77:D84" si="7">E77+F77</f>
        <v>312.28199999999998</v>
      </c>
      <c r="E77" s="130">
        <v>136.18799999999999</v>
      </c>
      <c r="F77" s="130">
        <v>176.09399999999999</v>
      </c>
      <c r="G77" s="128">
        <f t="shared" si="6"/>
        <v>114.65107057890562</v>
      </c>
      <c r="H77" s="147"/>
    </row>
    <row r="78" spans="1:8" s="111" customFormat="1" ht="15.6" customHeight="1" x14ac:dyDescent="0.3">
      <c r="A78" s="146" t="s">
        <v>54</v>
      </c>
      <c r="B78" s="144" t="s">
        <v>62</v>
      </c>
      <c r="C78" s="130">
        <v>348.19200000000001</v>
      </c>
      <c r="D78" s="127">
        <f t="shared" si="7"/>
        <v>350.19</v>
      </c>
      <c r="E78" s="130">
        <v>174.096</v>
      </c>
      <c r="F78" s="130">
        <v>176.09399999999999</v>
      </c>
      <c r="G78" s="128">
        <f t="shared" si="6"/>
        <v>100.57382133995037</v>
      </c>
      <c r="H78" s="147"/>
    </row>
    <row r="79" spans="1:8" s="111" customFormat="1" ht="15.6" customHeight="1" x14ac:dyDescent="0.3">
      <c r="A79" s="146" t="s">
        <v>54</v>
      </c>
      <c r="B79" s="144" t="s">
        <v>63</v>
      </c>
      <c r="C79" s="130">
        <v>348.19200000000001</v>
      </c>
      <c r="D79" s="127">
        <f t="shared" si="7"/>
        <v>350.19</v>
      </c>
      <c r="E79" s="130">
        <v>174.096</v>
      </c>
      <c r="F79" s="130">
        <v>176.09399999999999</v>
      </c>
      <c r="G79" s="128">
        <f t="shared" si="6"/>
        <v>100.57382133995037</v>
      </c>
      <c r="H79" s="147"/>
    </row>
    <row r="80" spans="1:8" s="111" customFormat="1" ht="15.6" customHeight="1" x14ac:dyDescent="0.3">
      <c r="A80" s="146" t="s">
        <v>54</v>
      </c>
      <c r="B80" s="144" t="s">
        <v>64</v>
      </c>
      <c r="C80" s="130">
        <v>348.19200000000001</v>
      </c>
      <c r="D80" s="127">
        <f t="shared" si="7"/>
        <v>350.19</v>
      </c>
      <c r="E80" s="130">
        <v>174.096</v>
      </c>
      <c r="F80" s="130">
        <v>176.09399999999999</v>
      </c>
      <c r="G80" s="128">
        <f t="shared" si="6"/>
        <v>100.57382133995037</v>
      </c>
      <c r="H80" s="147"/>
    </row>
    <row r="81" spans="1:11" s="111" customFormat="1" ht="15.6" customHeight="1" x14ac:dyDescent="0.3">
      <c r="A81" s="146" t="s">
        <v>54</v>
      </c>
      <c r="B81" s="144" t="s">
        <v>65</v>
      </c>
      <c r="C81" s="130">
        <v>348.19200000000001</v>
      </c>
      <c r="D81" s="127">
        <f t="shared" si="7"/>
        <v>350.19</v>
      </c>
      <c r="E81" s="130">
        <v>174.096</v>
      </c>
      <c r="F81" s="130">
        <v>176.09399999999999</v>
      </c>
      <c r="G81" s="128">
        <f t="shared" si="6"/>
        <v>100.57382133995037</v>
      </c>
      <c r="H81" s="147"/>
    </row>
    <row r="82" spans="1:11" s="111" customFormat="1" ht="27.6" x14ac:dyDescent="0.3">
      <c r="A82" s="146" t="s">
        <v>32</v>
      </c>
      <c r="B82" s="144" t="s">
        <v>144</v>
      </c>
      <c r="C82" s="130">
        <v>10</v>
      </c>
      <c r="D82" s="127">
        <f t="shared" si="7"/>
        <v>10</v>
      </c>
      <c r="E82" s="130">
        <v>0</v>
      </c>
      <c r="F82" s="127">
        <v>10</v>
      </c>
      <c r="G82" s="128">
        <f t="shared" si="6"/>
        <v>100</v>
      </c>
      <c r="H82" s="147"/>
    </row>
    <row r="83" spans="1:11" s="111" customFormat="1" ht="16.8" customHeight="1" x14ac:dyDescent="0.3">
      <c r="A83" s="146" t="s">
        <v>32</v>
      </c>
      <c r="B83" s="144" t="s">
        <v>145</v>
      </c>
      <c r="C83" s="130">
        <v>80</v>
      </c>
      <c r="D83" s="127">
        <f t="shared" si="7"/>
        <v>80</v>
      </c>
      <c r="E83" s="130">
        <v>0</v>
      </c>
      <c r="F83" s="127">
        <v>80</v>
      </c>
      <c r="G83" s="128">
        <f t="shared" si="6"/>
        <v>100</v>
      </c>
      <c r="H83" s="147"/>
    </row>
    <row r="84" spans="1:11" s="111" customFormat="1" ht="16.8" customHeight="1" x14ac:dyDescent="0.3">
      <c r="A84" s="146" t="s">
        <v>32</v>
      </c>
      <c r="B84" s="144" t="s">
        <v>146</v>
      </c>
      <c r="C84" s="130">
        <v>160</v>
      </c>
      <c r="D84" s="127">
        <f t="shared" si="7"/>
        <v>160</v>
      </c>
      <c r="E84" s="130">
        <v>0</v>
      </c>
      <c r="F84" s="127">
        <v>160</v>
      </c>
      <c r="G84" s="128">
        <f t="shared" si="6"/>
        <v>100</v>
      </c>
      <c r="H84" s="147"/>
    </row>
    <row r="85" spans="1:11" s="111" customFormat="1" ht="13.8" x14ac:dyDescent="0.3">
      <c r="A85" s="119">
        <v>9</v>
      </c>
      <c r="B85" s="120" t="s">
        <v>75</v>
      </c>
      <c r="C85" s="121">
        <f>C86</f>
        <v>702</v>
      </c>
      <c r="D85" s="121">
        <f>D86</f>
        <v>113</v>
      </c>
      <c r="E85" s="121">
        <f>E86</f>
        <v>113</v>
      </c>
      <c r="F85" s="121">
        <f>F86</f>
        <v>0</v>
      </c>
      <c r="G85" s="117">
        <f t="shared" si="6"/>
        <v>16.096866096866098</v>
      </c>
    </row>
    <row r="86" spans="1:11" s="104" customFormat="1" ht="13.8" hidden="1" x14ac:dyDescent="0.3">
      <c r="A86" s="146" t="s">
        <v>32</v>
      </c>
      <c r="B86" s="144" t="s">
        <v>76</v>
      </c>
      <c r="C86" s="128">
        <f>702</f>
        <v>702</v>
      </c>
      <c r="D86" s="128">
        <f>E86+F86</f>
        <v>113</v>
      </c>
      <c r="E86" s="130">
        <v>113</v>
      </c>
      <c r="F86" s="127"/>
      <c r="G86" s="117">
        <f t="shared" si="6"/>
        <v>16.096866096866098</v>
      </c>
    </row>
    <row r="87" spans="1:11" s="135" customFormat="1" ht="13.8" hidden="1" x14ac:dyDescent="0.3">
      <c r="A87" s="155"/>
      <c r="B87" s="156" t="s">
        <v>147</v>
      </c>
      <c r="C87" s="157"/>
      <c r="D87" s="157"/>
      <c r="E87" s="157"/>
      <c r="F87" s="157"/>
      <c r="G87" s="117"/>
      <c r="H87" s="157"/>
    </row>
    <row r="88" spans="1:11" s="135" customFormat="1" ht="13.8" hidden="1" x14ac:dyDescent="0.3">
      <c r="A88" s="155"/>
      <c r="B88" s="156" t="s">
        <v>148</v>
      </c>
      <c r="C88" s="157"/>
      <c r="D88" s="157"/>
      <c r="E88" s="157"/>
      <c r="F88" s="157"/>
      <c r="G88" s="117"/>
      <c r="H88" s="157"/>
    </row>
    <row r="89" spans="1:11" s="135" customFormat="1" ht="13.8" hidden="1" x14ac:dyDescent="0.3">
      <c r="A89" s="155"/>
      <c r="B89" s="156" t="s">
        <v>292</v>
      </c>
      <c r="C89" s="157"/>
      <c r="D89" s="157"/>
      <c r="E89" s="157"/>
      <c r="F89" s="157"/>
      <c r="G89" s="117"/>
      <c r="H89" s="157"/>
    </row>
    <row r="90" spans="1:11" s="135" customFormat="1" ht="13.8" hidden="1" x14ac:dyDescent="0.3">
      <c r="A90" s="155"/>
      <c r="B90" s="156" t="s">
        <v>149</v>
      </c>
      <c r="C90" s="157"/>
      <c r="D90" s="157"/>
      <c r="E90" s="157"/>
      <c r="F90" s="157"/>
      <c r="G90" s="117"/>
      <c r="H90" s="157"/>
    </row>
    <row r="91" spans="1:11" s="111" customFormat="1" ht="41.4" x14ac:dyDescent="0.3">
      <c r="A91" s="119">
        <v>10</v>
      </c>
      <c r="B91" s="120" t="s">
        <v>150</v>
      </c>
      <c r="C91" s="121">
        <v>218905</v>
      </c>
      <c r="D91" s="121">
        <f>E91+F91</f>
        <v>227908.43778000001</v>
      </c>
      <c r="E91" s="121">
        <v>218905</v>
      </c>
      <c r="F91" s="158">
        <f>46908.898+40023.21682-77943.88244+15.2054</f>
        <v>9003.437780000002</v>
      </c>
      <c r="G91" s="117">
        <f t="shared" si="6"/>
        <v>104.11294295699048</v>
      </c>
      <c r="I91" s="159"/>
      <c r="J91" s="147"/>
      <c r="K91" s="107"/>
    </row>
    <row r="92" spans="1:11" s="111" customFormat="1" ht="27.6" x14ac:dyDescent="0.3">
      <c r="A92" s="119" t="s">
        <v>77</v>
      </c>
      <c r="B92" s="120" t="s">
        <v>78</v>
      </c>
      <c r="C92" s="121">
        <v>252</v>
      </c>
      <c r="D92" s="121">
        <f>E92+F92</f>
        <v>251.7</v>
      </c>
      <c r="E92" s="121">
        <v>0</v>
      </c>
      <c r="F92" s="160">
        <f>F93</f>
        <v>251.7</v>
      </c>
      <c r="G92" s="117">
        <f t="shared" si="6"/>
        <v>99.88095238095238</v>
      </c>
      <c r="I92" s="147"/>
    </row>
    <row r="93" spans="1:11" s="135" customFormat="1" ht="13.8" hidden="1" x14ac:dyDescent="0.3">
      <c r="A93" s="155"/>
      <c r="B93" s="156" t="s">
        <v>288</v>
      </c>
      <c r="C93" s="161"/>
      <c r="D93" s="161"/>
      <c r="E93" s="161"/>
      <c r="F93" s="162">
        <v>251.7</v>
      </c>
      <c r="G93" s="136"/>
    </row>
    <row r="94" spans="1:11" s="111" customFormat="1" ht="13.8" x14ac:dyDescent="0.3">
      <c r="A94" s="119" t="s">
        <v>20</v>
      </c>
      <c r="B94" s="120" t="s">
        <v>151</v>
      </c>
      <c r="C94" s="149">
        <v>29130.699000000004</v>
      </c>
      <c r="D94" s="149">
        <f>E94+F94</f>
        <v>24757.208956999999</v>
      </c>
      <c r="E94" s="121">
        <v>18889.791394</v>
      </c>
      <c r="F94" s="99">
        <v>5867.417563</v>
      </c>
      <c r="G94" s="103">
        <f t="shared" si="6"/>
        <v>84.986662891268054</v>
      </c>
      <c r="I94" s="159"/>
      <c r="K94" s="315"/>
    </row>
    <row r="95" spans="1:11" s="135" customFormat="1" ht="14.4" hidden="1" x14ac:dyDescent="0.3">
      <c r="A95" s="155"/>
      <c r="B95" s="156" t="s">
        <v>152</v>
      </c>
      <c r="C95" s="163"/>
      <c r="D95" s="163"/>
      <c r="E95" s="163"/>
      <c r="F95" s="163"/>
      <c r="G95" s="164"/>
    </row>
    <row r="96" spans="1:11" s="135" customFormat="1" ht="27.6" hidden="1" x14ac:dyDescent="0.3">
      <c r="A96" s="155"/>
      <c r="B96" s="156" t="s">
        <v>226</v>
      </c>
      <c r="C96" s="163"/>
      <c r="D96" s="163"/>
      <c r="E96" s="163"/>
      <c r="F96" s="163"/>
      <c r="G96" s="164"/>
    </row>
    <row r="97" spans="1:7" s="135" customFormat="1" ht="27.6" hidden="1" x14ac:dyDescent="0.3">
      <c r="A97" s="155"/>
      <c r="B97" s="156" t="s">
        <v>210</v>
      </c>
      <c r="C97" s="163"/>
      <c r="D97" s="163"/>
      <c r="E97" s="163"/>
      <c r="F97" s="163"/>
      <c r="G97" s="164"/>
    </row>
    <row r="98" spans="1:7" s="135" customFormat="1" ht="14.4" hidden="1" x14ac:dyDescent="0.3">
      <c r="A98" s="155"/>
      <c r="B98" s="156" t="s">
        <v>153</v>
      </c>
      <c r="C98" s="163"/>
      <c r="D98" s="163"/>
      <c r="E98" s="163"/>
      <c r="F98" s="163"/>
      <c r="G98" s="164"/>
    </row>
    <row r="99" spans="1:7" s="135" customFormat="1" ht="27.6" hidden="1" x14ac:dyDescent="0.3">
      <c r="A99" s="155"/>
      <c r="B99" s="156" t="s">
        <v>154</v>
      </c>
      <c r="C99" s="163"/>
      <c r="D99" s="163"/>
      <c r="E99" s="163"/>
      <c r="F99" s="163"/>
      <c r="G99" s="164"/>
    </row>
    <row r="100" spans="1:7" s="135" customFormat="1" ht="14.4" hidden="1" x14ac:dyDescent="0.3">
      <c r="A100" s="155"/>
      <c r="B100" s="156" t="s">
        <v>223</v>
      </c>
      <c r="C100" s="163"/>
      <c r="D100" s="163"/>
      <c r="E100" s="163"/>
      <c r="F100" s="163"/>
      <c r="G100" s="164"/>
    </row>
    <row r="101" spans="1:7" s="98" customFormat="1" ht="27.6" hidden="1" x14ac:dyDescent="0.3">
      <c r="A101" s="155"/>
      <c r="B101" s="156" t="s">
        <v>155</v>
      </c>
      <c r="C101" s="163"/>
      <c r="D101" s="163"/>
      <c r="E101" s="163"/>
      <c r="F101" s="163"/>
      <c r="G101" s="164"/>
    </row>
    <row r="102" spans="1:7" s="111" customFormat="1" ht="13.8" x14ac:dyDescent="0.3">
      <c r="A102" s="165" t="s">
        <v>84</v>
      </c>
      <c r="B102" s="166" t="s">
        <v>156</v>
      </c>
      <c r="C102" s="167">
        <v>2899.9439929999999</v>
      </c>
      <c r="D102" s="167">
        <f>E102+F102</f>
        <v>611.76487399999996</v>
      </c>
      <c r="E102" s="167">
        <v>609.86947399999997</v>
      </c>
      <c r="F102" s="167">
        <v>1.8954</v>
      </c>
      <c r="G102" s="168">
        <f t="shared" si="6"/>
        <v>21.095747899845733</v>
      </c>
    </row>
    <row r="103" spans="1:7" s="111" customFormat="1" ht="16.8" customHeight="1" x14ac:dyDescent="0.3">
      <c r="A103" s="119" t="s">
        <v>85</v>
      </c>
      <c r="B103" s="169" t="s">
        <v>157</v>
      </c>
      <c r="C103" s="170">
        <v>904.08579999999995</v>
      </c>
      <c r="D103" s="170">
        <f>E103+F103</f>
        <v>904.08579999999995</v>
      </c>
      <c r="E103" s="170">
        <v>904.08579999999995</v>
      </c>
      <c r="F103" s="171">
        <f>C103-E103</f>
        <v>0</v>
      </c>
      <c r="G103" s="128">
        <f t="shared" si="6"/>
        <v>100</v>
      </c>
    </row>
    <row r="104" spans="1:7" s="111" customFormat="1" ht="13.8" x14ac:dyDescent="0.3">
      <c r="A104" s="119" t="s">
        <v>79</v>
      </c>
      <c r="B104" s="120" t="s">
        <v>80</v>
      </c>
      <c r="C104" s="121">
        <v>1471</v>
      </c>
      <c r="D104" s="121">
        <f>E104+F104</f>
        <v>608.10799999999995</v>
      </c>
      <c r="E104" s="121"/>
      <c r="F104" s="158">
        <f>F105+F106</f>
        <v>608.10799999999995</v>
      </c>
      <c r="G104" s="117">
        <f t="shared" si="6"/>
        <v>41.339768864717875</v>
      </c>
    </row>
    <row r="105" spans="1:7" s="135" customFormat="1" ht="13.8" hidden="1" x14ac:dyDescent="0.3">
      <c r="A105" s="155"/>
      <c r="B105" s="156"/>
      <c r="C105" s="161"/>
      <c r="D105" s="161"/>
      <c r="E105" s="161"/>
      <c r="F105" s="157"/>
      <c r="G105" s="117" t="e">
        <f t="shared" si="6"/>
        <v>#DIV/0!</v>
      </c>
    </row>
    <row r="106" spans="1:7" s="135" customFormat="1" ht="13.8" hidden="1" x14ac:dyDescent="0.3">
      <c r="A106" s="155"/>
      <c r="B106" s="156" t="s">
        <v>158</v>
      </c>
      <c r="C106" s="161"/>
      <c r="D106" s="161"/>
      <c r="E106" s="161"/>
      <c r="F106" s="157">
        <v>608.10799999999995</v>
      </c>
      <c r="G106" s="117" t="e">
        <f t="shared" si="6"/>
        <v>#DIV/0!</v>
      </c>
    </row>
    <row r="107" spans="1:7" s="111" customFormat="1" ht="13.8" x14ac:dyDescent="0.3">
      <c r="A107" s="119" t="s">
        <v>81</v>
      </c>
      <c r="B107" s="120" t="s">
        <v>82</v>
      </c>
      <c r="C107" s="149">
        <v>580</v>
      </c>
      <c r="D107" s="149">
        <f>E107+F107</f>
        <v>210</v>
      </c>
      <c r="E107" s="121"/>
      <c r="F107" s="158">
        <f>117+93</f>
        <v>210</v>
      </c>
      <c r="G107" s="117">
        <f t="shared" si="6"/>
        <v>36.206896551724135</v>
      </c>
    </row>
    <row r="108" spans="1:7" s="135" customFormat="1" ht="13.8" hidden="1" x14ac:dyDescent="0.3">
      <c r="A108" s="155"/>
      <c r="B108" s="156" t="s">
        <v>159</v>
      </c>
      <c r="C108" s="172"/>
      <c r="D108" s="172"/>
      <c r="E108" s="161"/>
      <c r="F108" s="157">
        <v>117</v>
      </c>
      <c r="G108" s="117" t="e">
        <f t="shared" si="6"/>
        <v>#DIV/0!</v>
      </c>
    </row>
    <row r="109" spans="1:7" s="135" customFormat="1" ht="13.8" hidden="1" x14ac:dyDescent="0.3">
      <c r="A109" s="155"/>
      <c r="B109" s="156" t="s">
        <v>160</v>
      </c>
      <c r="C109" s="172"/>
      <c r="D109" s="172"/>
      <c r="E109" s="161"/>
      <c r="F109" s="157">
        <v>93</v>
      </c>
      <c r="G109" s="117" t="e">
        <f t="shared" si="6"/>
        <v>#DIV/0!</v>
      </c>
    </row>
    <row r="110" spans="1:7" s="111" customFormat="1" ht="13.8" x14ac:dyDescent="0.3">
      <c r="A110" s="119" t="s">
        <v>161</v>
      </c>
      <c r="B110" s="120" t="s">
        <v>162</v>
      </c>
      <c r="C110" s="158">
        <f>C111+C112+C113+C114+C115+C116+C117+C121+C124+C125+C126+C127+C128</f>
        <v>27261.856513999999</v>
      </c>
      <c r="D110" s="158">
        <f t="shared" ref="D110:F110" si="8">D111+D112+D113+D114+D115+D116+D117+D121+D124+D125+D126+D127+D128</f>
        <v>27841.433993999999</v>
      </c>
      <c r="E110" s="158">
        <f t="shared" si="8"/>
        <v>0</v>
      </c>
      <c r="F110" s="158">
        <f t="shared" si="8"/>
        <v>27841.433993999999</v>
      </c>
      <c r="G110" s="117">
        <f t="shared" si="6"/>
        <v>102.12596482452456</v>
      </c>
    </row>
    <row r="111" spans="1:7" s="104" customFormat="1" ht="27.6" x14ac:dyDescent="0.3">
      <c r="A111" s="146" t="s">
        <v>32</v>
      </c>
      <c r="B111" s="144" t="s">
        <v>163</v>
      </c>
      <c r="C111" s="127">
        <v>150</v>
      </c>
      <c r="D111" s="127">
        <f t="shared" ref="D111:D130" si="9">E111+F111</f>
        <v>150</v>
      </c>
      <c r="E111" s="127"/>
      <c r="F111" s="127">
        <v>150</v>
      </c>
      <c r="G111" s="128">
        <f t="shared" si="6"/>
        <v>100</v>
      </c>
    </row>
    <row r="112" spans="1:7" s="104" customFormat="1" ht="27.6" x14ac:dyDescent="0.3">
      <c r="A112" s="146" t="s">
        <v>32</v>
      </c>
      <c r="B112" s="144" t="s">
        <v>164</v>
      </c>
      <c r="C112" s="127">
        <v>18.809999999999999</v>
      </c>
      <c r="D112" s="127">
        <f t="shared" si="9"/>
        <v>18.809999999999999</v>
      </c>
      <c r="E112" s="127"/>
      <c r="F112" s="127">
        <v>18.809999999999999</v>
      </c>
      <c r="G112" s="128">
        <f t="shared" si="6"/>
        <v>100</v>
      </c>
    </row>
    <row r="113" spans="1:11" s="104" customFormat="1" ht="27.6" x14ac:dyDescent="0.3">
      <c r="A113" s="146" t="s">
        <v>54</v>
      </c>
      <c r="B113" s="144" t="s">
        <v>165</v>
      </c>
      <c r="C113" s="127">
        <v>150</v>
      </c>
      <c r="D113" s="127">
        <f t="shared" si="9"/>
        <v>150</v>
      </c>
      <c r="E113" s="127"/>
      <c r="F113" s="127">
        <f>C113-E113</f>
        <v>150</v>
      </c>
      <c r="G113" s="128">
        <f t="shared" si="6"/>
        <v>100</v>
      </c>
    </row>
    <row r="114" spans="1:11" s="104" customFormat="1" ht="27.6" x14ac:dyDescent="0.3">
      <c r="A114" s="146" t="s">
        <v>54</v>
      </c>
      <c r="B114" s="144" t="s">
        <v>166</v>
      </c>
      <c r="C114" s="127">
        <v>21433.746513999999</v>
      </c>
      <c r="D114" s="127">
        <f t="shared" si="9"/>
        <v>21433.746513999999</v>
      </c>
      <c r="E114" s="127"/>
      <c r="F114" s="127">
        <v>21433.746513999999</v>
      </c>
      <c r="G114" s="128">
        <f t="shared" si="6"/>
        <v>100</v>
      </c>
      <c r="K114" s="118"/>
    </row>
    <row r="115" spans="1:11" s="104" customFormat="1" ht="27.6" x14ac:dyDescent="0.3">
      <c r="A115" s="146" t="s">
        <v>54</v>
      </c>
      <c r="B115" s="144" t="s">
        <v>167</v>
      </c>
      <c r="C115" s="127">
        <v>3109.3</v>
      </c>
      <c r="D115" s="127">
        <f t="shared" si="9"/>
        <v>3075.9</v>
      </c>
      <c r="E115" s="127"/>
      <c r="F115" s="127">
        <v>3075.9</v>
      </c>
      <c r="G115" s="128">
        <f t="shared" si="6"/>
        <v>98.925803235454921</v>
      </c>
    </row>
    <row r="116" spans="1:11" s="104" customFormat="1" ht="27.6" x14ac:dyDescent="0.3">
      <c r="A116" s="146" t="s">
        <v>54</v>
      </c>
      <c r="B116" s="144" t="s">
        <v>168</v>
      </c>
      <c r="C116" s="127">
        <v>100</v>
      </c>
      <c r="D116" s="127">
        <f t="shared" si="9"/>
        <v>100</v>
      </c>
      <c r="E116" s="127"/>
      <c r="F116" s="127">
        <f>C116-E116</f>
        <v>100</v>
      </c>
      <c r="G116" s="128">
        <f t="shared" si="6"/>
        <v>100</v>
      </c>
    </row>
    <row r="117" spans="1:11" s="104" customFormat="1" ht="27.6" x14ac:dyDescent="0.3">
      <c r="A117" s="146" t="s">
        <v>54</v>
      </c>
      <c r="B117" s="144" t="s">
        <v>169</v>
      </c>
      <c r="C117" s="127">
        <v>1350</v>
      </c>
      <c r="D117" s="127">
        <f t="shared" si="9"/>
        <v>915.27747999999997</v>
      </c>
      <c r="E117" s="127"/>
      <c r="F117" s="127">
        <v>915.27747999999997</v>
      </c>
      <c r="G117" s="117">
        <f t="shared" si="6"/>
        <v>67.798331851851842</v>
      </c>
    </row>
    <row r="118" spans="1:11" s="104" customFormat="1" ht="13.8" hidden="1" x14ac:dyDescent="0.3">
      <c r="A118" s="146"/>
      <c r="B118" s="144" t="s">
        <v>289</v>
      </c>
      <c r="C118" s="127"/>
      <c r="D118" s="127"/>
      <c r="E118" s="127"/>
      <c r="F118" s="127"/>
      <c r="G118" s="128"/>
    </row>
    <row r="119" spans="1:11" s="104" customFormat="1" ht="13.8" hidden="1" x14ac:dyDescent="0.3">
      <c r="A119" s="146"/>
      <c r="B119" s="144" t="s">
        <v>290</v>
      </c>
      <c r="C119" s="127"/>
      <c r="D119" s="127"/>
      <c r="E119" s="127"/>
      <c r="F119" s="127"/>
      <c r="G119" s="128"/>
    </row>
    <row r="120" spans="1:11" s="104" customFormat="1" ht="13.8" hidden="1" x14ac:dyDescent="0.3">
      <c r="A120" s="146"/>
      <c r="B120" s="144" t="s">
        <v>291</v>
      </c>
      <c r="C120" s="127"/>
      <c r="D120" s="127"/>
      <c r="E120" s="127"/>
      <c r="F120" s="127"/>
      <c r="G120" s="128"/>
    </row>
    <row r="121" spans="1:11" s="104" customFormat="1" ht="13.8" x14ac:dyDescent="0.3">
      <c r="A121" s="146" t="s">
        <v>32</v>
      </c>
      <c r="B121" s="173" t="s">
        <v>170</v>
      </c>
      <c r="C121" s="173">
        <v>950</v>
      </c>
      <c r="D121" s="127">
        <f t="shared" si="9"/>
        <v>881.5</v>
      </c>
      <c r="E121" s="173"/>
      <c r="F121" s="174">
        <v>881.5</v>
      </c>
      <c r="G121" s="117">
        <f t="shared" si="6"/>
        <v>92.78947368421052</v>
      </c>
    </row>
    <row r="122" spans="1:11" ht="31.2" hidden="1" x14ac:dyDescent="0.3">
      <c r="A122" s="146" t="s">
        <v>32</v>
      </c>
      <c r="B122" s="175" t="s">
        <v>180</v>
      </c>
      <c r="C122" s="176"/>
      <c r="D122" s="127">
        <f t="shared" si="9"/>
        <v>0</v>
      </c>
      <c r="E122" s="177"/>
      <c r="F122" s="178"/>
      <c r="G122" s="179"/>
    </row>
    <row r="123" spans="1:11" ht="31.2" hidden="1" x14ac:dyDescent="0.3">
      <c r="A123" s="146" t="s">
        <v>32</v>
      </c>
      <c r="B123" s="175" t="s">
        <v>181</v>
      </c>
      <c r="C123" s="177"/>
      <c r="D123" s="127">
        <f t="shared" si="9"/>
        <v>0</v>
      </c>
      <c r="E123" s="177"/>
      <c r="F123" s="178"/>
      <c r="G123" s="117"/>
    </row>
    <row r="124" spans="1:11" ht="46.8" x14ac:dyDescent="0.3">
      <c r="A124" s="146" t="s">
        <v>32</v>
      </c>
      <c r="B124" s="175" t="s">
        <v>186</v>
      </c>
      <c r="C124" s="180"/>
      <c r="D124" s="127">
        <f t="shared" si="9"/>
        <v>97</v>
      </c>
      <c r="E124" s="177"/>
      <c r="F124" s="176">
        <f>97</f>
        <v>97</v>
      </c>
      <c r="G124" s="117"/>
    </row>
    <row r="125" spans="1:11" ht="46.8" x14ac:dyDescent="0.3">
      <c r="A125" s="146" t="s">
        <v>32</v>
      </c>
      <c r="B125" s="175" t="s">
        <v>182</v>
      </c>
      <c r="C125" s="176"/>
      <c r="D125" s="127">
        <f t="shared" si="9"/>
        <v>849.6</v>
      </c>
      <c r="E125" s="177"/>
      <c r="F125" s="176">
        <v>849.6</v>
      </c>
      <c r="G125" s="117"/>
    </row>
    <row r="126" spans="1:11" ht="21" customHeight="1" x14ac:dyDescent="0.3">
      <c r="A126" s="146" t="s">
        <v>32</v>
      </c>
      <c r="B126" s="175" t="s">
        <v>183</v>
      </c>
      <c r="C126" s="176"/>
      <c r="D126" s="127">
        <f t="shared" si="9"/>
        <v>18.600000000000001</v>
      </c>
      <c r="E126" s="177"/>
      <c r="F126" s="176">
        <v>18.600000000000001</v>
      </c>
      <c r="G126" s="117"/>
    </row>
    <row r="127" spans="1:11" ht="31.2" x14ac:dyDescent="0.3">
      <c r="A127" s="146" t="s">
        <v>32</v>
      </c>
      <c r="B127" s="175" t="s">
        <v>184</v>
      </c>
      <c r="C127" s="176"/>
      <c r="D127" s="127">
        <f t="shared" si="9"/>
        <v>131</v>
      </c>
      <c r="E127" s="177"/>
      <c r="F127" s="176">
        <v>131</v>
      </c>
      <c r="G127" s="117"/>
    </row>
    <row r="128" spans="1:11" ht="15" customHeight="1" x14ac:dyDescent="0.3">
      <c r="A128" s="146" t="s">
        <v>32</v>
      </c>
      <c r="B128" s="175" t="s">
        <v>185</v>
      </c>
      <c r="C128" s="176"/>
      <c r="D128" s="127">
        <f t="shared" si="9"/>
        <v>20</v>
      </c>
      <c r="E128" s="177"/>
      <c r="F128" s="174">
        <v>20</v>
      </c>
      <c r="G128" s="117"/>
    </row>
    <row r="129" spans="1:11" ht="31.2" hidden="1" x14ac:dyDescent="0.3">
      <c r="A129" s="146" t="s">
        <v>32</v>
      </c>
      <c r="B129" s="175" t="s">
        <v>187</v>
      </c>
      <c r="C129" s="176"/>
      <c r="D129" s="127">
        <f t="shared" si="9"/>
        <v>0</v>
      </c>
      <c r="E129" s="177"/>
      <c r="F129" s="178"/>
      <c r="G129" s="117"/>
    </row>
    <row r="130" spans="1:11" s="104" customFormat="1" ht="13.8" x14ac:dyDescent="0.3">
      <c r="A130" s="119" t="s">
        <v>178</v>
      </c>
      <c r="B130" s="181" t="s">
        <v>179</v>
      </c>
      <c r="C130" s="181"/>
      <c r="D130" s="158">
        <f t="shared" si="9"/>
        <v>41924.400519999996</v>
      </c>
      <c r="E130" s="181"/>
      <c r="F130" s="182">
        <f>18792.40052+23132</f>
        <v>41924.400519999996</v>
      </c>
      <c r="G130" s="103"/>
    </row>
    <row r="131" spans="1:11" ht="10.8" customHeight="1" x14ac:dyDescent="0.3">
      <c r="A131" s="183"/>
      <c r="D131" s="184"/>
      <c r="F131" s="185"/>
      <c r="G131" s="186"/>
      <c r="K131" s="189"/>
    </row>
    <row r="132" spans="1:11" x14ac:dyDescent="0.3">
      <c r="C132" s="330" t="s">
        <v>114</v>
      </c>
      <c r="D132" s="330"/>
      <c r="E132" s="330"/>
      <c r="F132" s="330"/>
      <c r="G132" s="330"/>
    </row>
    <row r="134" spans="1:11" x14ac:dyDescent="0.3">
      <c r="B134" s="187"/>
    </row>
    <row r="135" spans="1:11" x14ac:dyDescent="0.3">
      <c r="B135" s="187"/>
    </row>
    <row r="136" spans="1:11" x14ac:dyDescent="0.3">
      <c r="B136" s="187"/>
    </row>
    <row r="137" spans="1:11" x14ac:dyDescent="0.3">
      <c r="B137" s="187"/>
    </row>
    <row r="138" spans="1:11" x14ac:dyDescent="0.3">
      <c r="B138" s="187"/>
    </row>
    <row r="139" spans="1:11" x14ac:dyDescent="0.3">
      <c r="B139" s="187"/>
    </row>
  </sheetData>
  <mergeCells count="13">
    <mergeCell ref="C132:G132"/>
    <mergeCell ref="A4:G4"/>
    <mergeCell ref="A5:G5"/>
    <mergeCell ref="D6:G6"/>
    <mergeCell ref="D1:G1"/>
    <mergeCell ref="A7:A8"/>
    <mergeCell ref="B7:B8"/>
    <mergeCell ref="C7:C8"/>
    <mergeCell ref="D7:D8"/>
    <mergeCell ref="E7:F7"/>
    <mergeCell ref="G7:G8"/>
    <mergeCell ref="A1:B1"/>
    <mergeCell ref="A2:B2"/>
  </mergeCells>
  <pageMargins left="0.2" right="0.2" top="0.5" bottom="0.2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320B7-FDAC-4607-AFEE-3D3ADD817824}">
  <dimension ref="A1:F26"/>
  <sheetViews>
    <sheetView topLeftCell="A7" zoomScale="115" zoomScaleNormal="115" workbookViewId="0">
      <selection activeCell="G5" sqref="G1:G1048576"/>
    </sheetView>
  </sheetViews>
  <sheetFormatPr defaultRowHeight="15.6" x14ac:dyDescent="0.3"/>
  <cols>
    <col min="1" max="1" width="35.21875" style="190" customWidth="1"/>
    <col min="2" max="2" width="17.21875" style="190" customWidth="1"/>
    <col min="3" max="3" width="32.109375" style="190" customWidth="1"/>
    <col min="4" max="4" width="14.33203125" style="190" customWidth="1"/>
    <col min="5" max="5" width="8.88671875" style="190"/>
    <col min="6" max="6" width="11.21875" style="190" customWidth="1"/>
    <col min="7" max="16384" width="8.88671875" style="190"/>
  </cols>
  <sheetData>
    <row r="1" spans="1:6" x14ac:dyDescent="0.3">
      <c r="A1" s="191" t="s">
        <v>198</v>
      </c>
    </row>
    <row r="2" spans="1:6" x14ac:dyDescent="0.3">
      <c r="A2" s="191" t="s">
        <v>25</v>
      </c>
    </row>
    <row r="4" spans="1:6" x14ac:dyDescent="0.3">
      <c r="A4" s="337" t="s">
        <v>314</v>
      </c>
      <c r="B4" s="337"/>
      <c r="C4" s="337"/>
      <c r="D4" s="337"/>
    </row>
    <row r="5" spans="1:6" x14ac:dyDescent="0.3">
      <c r="A5" s="338" t="s">
        <v>295</v>
      </c>
      <c r="B5" s="338"/>
      <c r="C5" s="338"/>
      <c r="D5" s="338"/>
    </row>
    <row r="6" spans="1:6" x14ac:dyDescent="0.3">
      <c r="C6" s="339" t="s">
        <v>296</v>
      </c>
      <c r="D6" s="339"/>
    </row>
    <row r="7" spans="1:6" ht="21" customHeight="1" x14ac:dyDescent="0.3">
      <c r="A7" s="196" t="s">
        <v>297</v>
      </c>
      <c r="B7" s="196" t="s">
        <v>298</v>
      </c>
      <c r="C7" s="196" t="s">
        <v>299</v>
      </c>
      <c r="D7" s="196" t="s">
        <v>298</v>
      </c>
    </row>
    <row r="8" spans="1:6" s="193" customFormat="1" ht="21" customHeight="1" x14ac:dyDescent="0.3">
      <c r="A8" s="197" t="s">
        <v>300</v>
      </c>
      <c r="B8" s="198">
        <f>'THỰC HIỆN THU 2025'!H10</f>
        <v>479736.79271299997</v>
      </c>
      <c r="C8" s="197" t="s">
        <v>301</v>
      </c>
      <c r="D8" s="198">
        <f>'THỰC HIỆN CHI 2025'!D9</f>
        <v>473093.9762187798</v>
      </c>
    </row>
    <row r="9" spans="1:6" s="192" customFormat="1" ht="21" customHeight="1" x14ac:dyDescent="0.3">
      <c r="A9" s="199" t="s">
        <v>306</v>
      </c>
      <c r="B9" s="200">
        <f>'THỰC HIỆN THU 2025'!H12+'THỰC HIỆN THU 2025'!H15+'THỰC HIỆN THU 2025'!H25</f>
        <v>1663.841236</v>
      </c>
      <c r="C9" s="199" t="s">
        <v>302</v>
      </c>
      <c r="D9" s="200">
        <f>'THỰC HIỆN CHI 2025'!D10</f>
        <v>10777.871999999999</v>
      </c>
      <c r="F9" s="194"/>
    </row>
    <row r="10" spans="1:6" s="192" customFormat="1" ht="21" customHeight="1" x14ac:dyDescent="0.3">
      <c r="A10" s="199" t="s">
        <v>307</v>
      </c>
      <c r="B10" s="200">
        <v>53387.040433999973</v>
      </c>
      <c r="C10" s="199" t="s">
        <v>303</v>
      </c>
      <c r="D10" s="200">
        <f>D8-D9-D11</f>
        <v>420391.70369877981</v>
      </c>
      <c r="F10" s="194"/>
    </row>
    <row r="11" spans="1:6" s="192" customFormat="1" ht="30" customHeight="1" x14ac:dyDescent="0.3">
      <c r="A11" s="199" t="s">
        <v>308</v>
      </c>
      <c r="B11" s="200">
        <f>B12+B13-1</f>
        <v>420888.64601299999</v>
      </c>
      <c r="C11" s="199" t="s">
        <v>304</v>
      </c>
      <c r="D11" s="200">
        <f>'THỰC HIỆN CHI 2025'!D130</f>
        <v>41924.400519999996</v>
      </c>
      <c r="F11" s="194"/>
    </row>
    <row r="12" spans="1:6" s="192" customFormat="1" ht="21" customHeight="1" x14ac:dyDescent="0.3">
      <c r="A12" s="199" t="s">
        <v>309</v>
      </c>
      <c r="B12" s="200">
        <f>'THỰC HIỆN THU 2025'!H37+'THỰC HIỆN THU 2025'!H38</f>
        <v>354773.31199999998</v>
      </c>
      <c r="C12" s="199" t="s">
        <v>305</v>
      </c>
      <c r="D12" s="200"/>
    </row>
    <row r="13" spans="1:6" s="192" customFormat="1" ht="21" customHeight="1" x14ac:dyDescent="0.3">
      <c r="A13" s="199" t="s">
        <v>310</v>
      </c>
      <c r="B13" s="200">
        <f>'THỰC HIỆN THU 2025'!H39</f>
        <v>66116.334013</v>
      </c>
      <c r="C13" s="199"/>
      <c r="D13" s="200"/>
    </row>
    <row r="14" spans="1:6" s="192" customFormat="1" ht="21" customHeight="1" x14ac:dyDescent="0.3">
      <c r="A14" s="199" t="s">
        <v>311</v>
      </c>
      <c r="B14" s="200">
        <f>'THỰC HIỆN THU 2025'!H35</f>
        <v>897.32103700000005</v>
      </c>
      <c r="C14" s="199"/>
      <c r="D14" s="200"/>
    </row>
    <row r="15" spans="1:6" s="192" customFormat="1" ht="32.4" customHeight="1" x14ac:dyDescent="0.3">
      <c r="A15" s="199" t="s">
        <v>312</v>
      </c>
      <c r="B15" s="200">
        <f>'THỰC HIỆN THU 2025'!H34</f>
        <v>2899.9439929999999</v>
      </c>
      <c r="C15" s="199"/>
      <c r="D15" s="200"/>
    </row>
    <row r="16" spans="1:6" s="193" customFormat="1" ht="21" customHeight="1" x14ac:dyDescent="0.3">
      <c r="A16" s="201" t="s">
        <v>313</v>
      </c>
      <c r="B16" s="198">
        <f>B8-D8</f>
        <v>6642.8164942201693</v>
      </c>
      <c r="C16" s="197"/>
      <c r="D16" s="202"/>
    </row>
    <row r="17" spans="2:4" ht="12.6" customHeight="1" x14ac:dyDescent="0.3">
      <c r="B17" s="195"/>
    </row>
    <row r="18" spans="2:4" x14ac:dyDescent="0.3">
      <c r="C18" s="337" t="s">
        <v>368</v>
      </c>
      <c r="D18" s="337"/>
    </row>
    <row r="26" spans="2:4" x14ac:dyDescent="0.3">
      <c r="B26" s="190" t="s">
        <v>376</v>
      </c>
    </row>
  </sheetData>
  <mergeCells count="4">
    <mergeCell ref="A4:D4"/>
    <mergeCell ref="A5:D5"/>
    <mergeCell ref="C6:D6"/>
    <mergeCell ref="C18:D18"/>
  </mergeCells>
  <pageMargins left="0.2" right="0.2" top="0.75" bottom="0.2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4"/>
  <sheetViews>
    <sheetView zoomScaleNormal="100" workbookViewId="0">
      <selection activeCell="I9" sqref="I9"/>
    </sheetView>
  </sheetViews>
  <sheetFormatPr defaultColWidth="9.109375" defaultRowHeight="16.8" x14ac:dyDescent="0.3"/>
  <cols>
    <col min="1" max="1" width="4.44140625" style="12" customWidth="1"/>
    <col min="2" max="2" width="48.44140625" style="42" customWidth="1"/>
    <col min="3" max="3" width="12.5546875" style="69" customWidth="1"/>
    <col min="4" max="4" width="11.6640625" style="75" customWidth="1"/>
    <col min="5" max="5" width="11.5546875" style="75" customWidth="1"/>
    <col min="6" max="6" width="10.44140625" style="75" customWidth="1"/>
    <col min="7" max="16384" width="9.109375" style="42"/>
  </cols>
  <sheetData>
    <row r="1" spans="1:9" s="12" customFormat="1" x14ac:dyDescent="0.3">
      <c r="A1" s="330" t="s">
        <v>198</v>
      </c>
      <c r="B1" s="330"/>
      <c r="C1" s="16"/>
      <c r="D1" s="321"/>
      <c r="E1" s="321"/>
      <c r="F1" s="321"/>
    </row>
    <row r="2" spans="1:9" s="12" customFormat="1" x14ac:dyDescent="0.3">
      <c r="A2" s="330" t="s">
        <v>25</v>
      </c>
      <c r="B2" s="330"/>
      <c r="C2" s="16"/>
      <c r="D2" s="322"/>
      <c r="E2" s="322"/>
      <c r="F2" s="322"/>
    </row>
    <row r="3" spans="1:9" s="12" customFormat="1" ht="10.199999999999999" customHeight="1" x14ac:dyDescent="0.3">
      <c r="A3" s="16"/>
      <c r="B3" s="16"/>
      <c r="C3" s="16"/>
      <c r="D3" s="322"/>
      <c r="E3" s="322"/>
      <c r="F3" s="322"/>
    </row>
    <row r="4" spans="1:9" s="12" customFormat="1" ht="34.200000000000003" customHeight="1" x14ac:dyDescent="0.3">
      <c r="A4" s="342" t="s">
        <v>318</v>
      </c>
      <c r="B4" s="342"/>
      <c r="C4" s="342"/>
      <c r="D4" s="342"/>
      <c r="E4" s="342"/>
      <c r="F4" s="342"/>
    </row>
    <row r="5" spans="1:9" s="12" customFormat="1" x14ac:dyDescent="0.3">
      <c r="A5" s="328" t="s">
        <v>317</v>
      </c>
      <c r="B5" s="328"/>
      <c r="C5" s="328"/>
      <c r="D5" s="328"/>
      <c r="E5" s="328"/>
      <c r="F5" s="328"/>
    </row>
    <row r="6" spans="1:9" s="12" customFormat="1" ht="6" customHeight="1" x14ac:dyDescent="0.3">
      <c r="A6" s="16"/>
      <c r="B6" s="330"/>
      <c r="C6" s="330"/>
      <c r="D6" s="94"/>
      <c r="E6" s="94"/>
      <c r="F6" s="94"/>
    </row>
    <row r="7" spans="1:9" x14ac:dyDescent="0.3">
      <c r="A7" s="16"/>
      <c r="B7" s="6"/>
      <c r="C7" s="96"/>
      <c r="D7" s="340" t="s">
        <v>319</v>
      </c>
      <c r="E7" s="340"/>
      <c r="F7" s="340"/>
    </row>
    <row r="8" spans="1:9" s="10" customFormat="1" ht="46.8" x14ac:dyDescent="0.3">
      <c r="A8" s="91" t="s">
        <v>199</v>
      </c>
      <c r="B8" s="91" t="s">
        <v>2</v>
      </c>
      <c r="C8" s="203" t="s">
        <v>200</v>
      </c>
      <c r="D8" s="204" t="s">
        <v>119</v>
      </c>
      <c r="E8" s="204" t="s">
        <v>177</v>
      </c>
      <c r="F8" s="15" t="s">
        <v>201</v>
      </c>
    </row>
    <row r="9" spans="1:9" s="70" customFormat="1" x14ac:dyDescent="0.3">
      <c r="A9" s="91" t="s">
        <v>5</v>
      </c>
      <c r="B9" s="205" t="s">
        <v>202</v>
      </c>
      <c r="C9" s="206">
        <f>SUM(C10:C44)</f>
        <v>29130.699000000004</v>
      </c>
      <c r="D9" s="206">
        <f>SUM(D10:D44)</f>
        <v>18889.791394</v>
      </c>
      <c r="E9" s="206">
        <f>SUM(E10:E44)</f>
        <v>5884.4175630000009</v>
      </c>
      <c r="F9" s="206">
        <f>SUM(F10:F44)</f>
        <v>4356.4900429999998</v>
      </c>
      <c r="I9" s="368"/>
    </row>
    <row r="10" spans="1:9" ht="31.2" x14ac:dyDescent="0.3">
      <c r="A10" s="33">
        <v>1</v>
      </c>
      <c r="B10" s="207" t="s">
        <v>203</v>
      </c>
      <c r="C10" s="208">
        <v>134.1</v>
      </c>
      <c r="D10" s="208">
        <v>134.1</v>
      </c>
      <c r="E10" s="208"/>
      <c r="F10" s="208">
        <f>C10-D10-E10</f>
        <v>0</v>
      </c>
    </row>
    <row r="11" spans="1:9" x14ac:dyDescent="0.3">
      <c r="A11" s="33">
        <v>2</v>
      </c>
      <c r="B11" s="207" t="s">
        <v>204</v>
      </c>
      <c r="C11" s="209">
        <v>26.7</v>
      </c>
      <c r="D11" s="209">
        <v>26.7</v>
      </c>
      <c r="E11" s="209"/>
      <c r="F11" s="208">
        <f t="shared" ref="F11:F72" si="0">C11-D11-E11</f>
        <v>0</v>
      </c>
    </row>
    <row r="12" spans="1:9" ht="31.2" x14ac:dyDescent="0.3">
      <c r="A12" s="33">
        <v>3</v>
      </c>
      <c r="B12" s="210" t="s">
        <v>205</v>
      </c>
      <c r="C12" s="211">
        <v>1500</v>
      </c>
      <c r="D12" s="211">
        <v>1500</v>
      </c>
      <c r="E12" s="211"/>
      <c r="F12" s="208">
        <f t="shared" si="0"/>
        <v>0</v>
      </c>
    </row>
    <row r="13" spans="1:9" x14ac:dyDescent="0.3">
      <c r="A13" s="33">
        <v>4</v>
      </c>
      <c r="B13" s="212" t="s">
        <v>206</v>
      </c>
      <c r="C13" s="213">
        <v>304.2</v>
      </c>
      <c r="D13" s="213">
        <v>304.2</v>
      </c>
      <c r="E13" s="213"/>
      <c r="F13" s="208">
        <f t="shared" si="0"/>
        <v>0</v>
      </c>
    </row>
    <row r="14" spans="1:9" ht="31.2" x14ac:dyDescent="0.3">
      <c r="A14" s="33">
        <v>5</v>
      </c>
      <c r="B14" s="210" t="s">
        <v>155</v>
      </c>
      <c r="C14" s="211">
        <v>1440</v>
      </c>
      <c r="D14" s="211">
        <v>828.80896700000005</v>
      </c>
      <c r="E14" s="211">
        <f>505.726618+17</f>
        <v>522.72661799999992</v>
      </c>
      <c r="F14" s="208">
        <f t="shared" si="0"/>
        <v>88.464415000000031</v>
      </c>
    </row>
    <row r="15" spans="1:9" ht="31.2" x14ac:dyDescent="0.3">
      <c r="A15" s="33">
        <v>6</v>
      </c>
      <c r="B15" s="210" t="s">
        <v>207</v>
      </c>
      <c r="C15" s="211">
        <v>411.42</v>
      </c>
      <c r="D15" s="211">
        <v>411.42</v>
      </c>
      <c r="E15" s="211"/>
      <c r="F15" s="208">
        <f t="shared" si="0"/>
        <v>0</v>
      </c>
    </row>
    <row r="16" spans="1:9" ht="31.2" x14ac:dyDescent="0.3">
      <c r="A16" s="33">
        <v>7</v>
      </c>
      <c r="B16" s="210" t="s">
        <v>208</v>
      </c>
      <c r="C16" s="211">
        <v>276</v>
      </c>
      <c r="D16" s="211">
        <v>276</v>
      </c>
      <c r="E16" s="211"/>
      <c r="F16" s="208">
        <f t="shared" si="0"/>
        <v>0</v>
      </c>
    </row>
    <row r="17" spans="1:6" x14ac:dyDescent="0.3">
      <c r="A17" s="33">
        <v>8</v>
      </c>
      <c r="B17" s="210" t="s">
        <v>209</v>
      </c>
      <c r="C17" s="211">
        <v>60</v>
      </c>
      <c r="D17" s="211">
        <v>60</v>
      </c>
      <c r="E17" s="211"/>
      <c r="F17" s="208">
        <f t="shared" si="0"/>
        <v>0</v>
      </c>
    </row>
    <row r="18" spans="1:6" ht="31.2" x14ac:dyDescent="0.3">
      <c r="A18" s="33">
        <v>9</v>
      </c>
      <c r="B18" s="210" t="s">
        <v>210</v>
      </c>
      <c r="C18" s="211">
        <v>1362.845</v>
      </c>
      <c r="D18" s="211">
        <v>805.553</v>
      </c>
      <c r="E18" s="211">
        <f>C18-D18</f>
        <v>557.29200000000003</v>
      </c>
      <c r="F18" s="208"/>
    </row>
    <row r="19" spans="1:6" ht="31.2" x14ac:dyDescent="0.3">
      <c r="A19" s="33">
        <v>10</v>
      </c>
      <c r="B19" s="210" t="s">
        <v>211</v>
      </c>
      <c r="C19" s="211">
        <v>76.3</v>
      </c>
      <c r="D19" s="211">
        <v>76.3</v>
      </c>
      <c r="E19" s="211"/>
      <c r="F19" s="208">
        <f t="shared" si="0"/>
        <v>0</v>
      </c>
    </row>
    <row r="20" spans="1:6" ht="46.8" x14ac:dyDescent="0.3">
      <c r="A20" s="33">
        <v>11</v>
      </c>
      <c r="B20" s="210" t="s">
        <v>212</v>
      </c>
      <c r="C20" s="211">
        <v>1570</v>
      </c>
      <c r="D20" s="211">
        <v>1570</v>
      </c>
      <c r="E20" s="211"/>
      <c r="F20" s="208">
        <f t="shared" si="0"/>
        <v>0</v>
      </c>
    </row>
    <row r="21" spans="1:6" x14ac:dyDescent="0.3">
      <c r="A21" s="33">
        <v>12</v>
      </c>
      <c r="B21" s="210" t="s">
        <v>213</v>
      </c>
      <c r="C21" s="211">
        <v>1000</v>
      </c>
      <c r="D21" s="211">
        <v>1000</v>
      </c>
      <c r="E21" s="211"/>
      <c r="F21" s="208">
        <f t="shared" si="0"/>
        <v>0</v>
      </c>
    </row>
    <row r="22" spans="1:6" x14ac:dyDescent="0.3">
      <c r="A22" s="33">
        <v>13</v>
      </c>
      <c r="B22" s="210" t="s">
        <v>214</v>
      </c>
      <c r="C22" s="211">
        <v>42.12</v>
      </c>
      <c r="D22" s="211">
        <v>42.12</v>
      </c>
      <c r="E22" s="211"/>
      <c r="F22" s="208">
        <f t="shared" si="0"/>
        <v>0</v>
      </c>
    </row>
    <row r="23" spans="1:6" ht="31.2" x14ac:dyDescent="0.3">
      <c r="A23" s="33">
        <v>14</v>
      </c>
      <c r="B23" s="210" t="s">
        <v>215</v>
      </c>
      <c r="C23" s="211">
        <v>30</v>
      </c>
      <c r="D23" s="211">
        <v>30</v>
      </c>
      <c r="E23" s="211"/>
      <c r="F23" s="208">
        <f t="shared" si="0"/>
        <v>0</v>
      </c>
    </row>
    <row r="24" spans="1:6" ht="31.2" x14ac:dyDescent="0.3">
      <c r="A24" s="33">
        <v>15</v>
      </c>
      <c r="B24" s="210" t="s">
        <v>216</v>
      </c>
      <c r="C24" s="211">
        <v>345</v>
      </c>
      <c r="D24" s="211">
        <v>345</v>
      </c>
      <c r="E24" s="211"/>
      <c r="F24" s="208">
        <f t="shared" si="0"/>
        <v>0</v>
      </c>
    </row>
    <row r="25" spans="1:6" ht="46.8" x14ac:dyDescent="0.3">
      <c r="A25" s="33">
        <v>16</v>
      </c>
      <c r="B25" s="214" t="s">
        <v>217</v>
      </c>
      <c r="C25" s="215">
        <v>650</v>
      </c>
      <c r="D25" s="215">
        <v>650</v>
      </c>
      <c r="E25" s="215"/>
      <c r="F25" s="208">
        <f t="shared" si="0"/>
        <v>0</v>
      </c>
    </row>
    <row r="26" spans="1:6" ht="62.4" x14ac:dyDescent="0.3">
      <c r="A26" s="33">
        <v>17</v>
      </c>
      <c r="B26" s="214" t="s">
        <v>218</v>
      </c>
      <c r="C26" s="215">
        <v>101.199</v>
      </c>
      <c r="D26" s="215">
        <v>101.199</v>
      </c>
      <c r="E26" s="215"/>
      <c r="F26" s="208">
        <f t="shared" si="0"/>
        <v>0</v>
      </c>
    </row>
    <row r="27" spans="1:6" ht="31.2" x14ac:dyDescent="0.3">
      <c r="A27" s="33">
        <v>18</v>
      </c>
      <c r="B27" s="214" t="s">
        <v>219</v>
      </c>
      <c r="C27" s="215">
        <v>25</v>
      </c>
      <c r="D27" s="215">
        <v>25</v>
      </c>
      <c r="E27" s="215"/>
      <c r="F27" s="208">
        <f t="shared" si="0"/>
        <v>0</v>
      </c>
    </row>
    <row r="28" spans="1:6" x14ac:dyDescent="0.3">
      <c r="A28" s="33">
        <v>19</v>
      </c>
      <c r="B28" s="4" t="s">
        <v>153</v>
      </c>
      <c r="C28" s="216">
        <v>6457</v>
      </c>
      <c r="D28" s="216">
        <v>3175.5754270000002</v>
      </c>
      <c r="E28" s="216">
        <f>1828.573945+80+1116.413</f>
        <v>3024.9869450000001</v>
      </c>
      <c r="F28" s="208">
        <f t="shared" si="0"/>
        <v>256.43762799999968</v>
      </c>
    </row>
    <row r="29" spans="1:6" x14ac:dyDescent="0.3">
      <c r="A29" s="33"/>
      <c r="B29" s="4" t="s">
        <v>257</v>
      </c>
      <c r="C29" s="216"/>
      <c r="D29" s="216"/>
      <c r="E29" s="216"/>
      <c r="F29" s="208"/>
    </row>
    <row r="30" spans="1:6" x14ac:dyDescent="0.3">
      <c r="A30" s="33"/>
      <c r="B30" s="4" t="s">
        <v>258</v>
      </c>
      <c r="C30" s="216"/>
      <c r="D30" s="216"/>
      <c r="E30" s="216"/>
      <c r="F30" s="208"/>
    </row>
    <row r="31" spans="1:6" x14ac:dyDescent="0.3">
      <c r="A31" s="33">
        <v>20</v>
      </c>
      <c r="B31" s="214" t="s">
        <v>220</v>
      </c>
      <c r="C31" s="215">
        <v>500</v>
      </c>
      <c r="D31" s="215">
        <v>500</v>
      </c>
      <c r="E31" s="215"/>
      <c r="F31" s="208">
        <f t="shared" si="0"/>
        <v>0</v>
      </c>
    </row>
    <row r="32" spans="1:6" ht="31.2" x14ac:dyDescent="0.3">
      <c r="A32" s="33">
        <v>21</v>
      </c>
      <c r="B32" s="210" t="s">
        <v>221</v>
      </c>
      <c r="C32" s="211">
        <v>12</v>
      </c>
      <c r="D32" s="211">
        <v>12</v>
      </c>
      <c r="E32" s="211"/>
      <c r="F32" s="208">
        <f t="shared" si="0"/>
        <v>0</v>
      </c>
    </row>
    <row r="33" spans="1:6" ht="31.2" x14ac:dyDescent="0.3">
      <c r="A33" s="33">
        <v>22</v>
      </c>
      <c r="B33" s="4" t="s">
        <v>222</v>
      </c>
      <c r="C33" s="216">
        <v>900</v>
      </c>
      <c r="D33" s="216">
        <v>900</v>
      </c>
      <c r="E33" s="216"/>
      <c r="F33" s="208">
        <f t="shared" si="0"/>
        <v>0</v>
      </c>
    </row>
    <row r="34" spans="1:6" x14ac:dyDescent="0.3">
      <c r="A34" s="33">
        <v>23</v>
      </c>
      <c r="B34" s="4" t="s">
        <v>223</v>
      </c>
      <c r="C34" s="216">
        <v>4650</v>
      </c>
      <c r="D34" s="216">
        <f>125*3</f>
        <v>375</v>
      </c>
      <c r="E34" s="216">
        <v>263.41199999999998</v>
      </c>
      <c r="F34" s="208">
        <f t="shared" si="0"/>
        <v>4011.5880000000002</v>
      </c>
    </row>
    <row r="35" spans="1:6" x14ac:dyDescent="0.3">
      <c r="A35" s="33">
        <v>24</v>
      </c>
      <c r="B35" s="4" t="s">
        <v>224</v>
      </c>
      <c r="C35" s="216">
        <v>1000</v>
      </c>
      <c r="D35" s="216">
        <v>1000</v>
      </c>
      <c r="E35" s="216"/>
      <c r="F35" s="208">
        <f t="shared" si="0"/>
        <v>0</v>
      </c>
    </row>
    <row r="36" spans="1:6" x14ac:dyDescent="0.3">
      <c r="A36" s="33">
        <v>25</v>
      </c>
      <c r="B36" s="4" t="s">
        <v>225</v>
      </c>
      <c r="C36" s="216">
        <v>1000</v>
      </c>
      <c r="D36" s="216">
        <v>1000</v>
      </c>
      <c r="E36" s="216"/>
      <c r="F36" s="208">
        <f t="shared" si="0"/>
        <v>0</v>
      </c>
    </row>
    <row r="37" spans="1:6" ht="31.2" x14ac:dyDescent="0.3">
      <c r="A37" s="33">
        <v>26</v>
      </c>
      <c r="B37" s="4" t="s">
        <v>226</v>
      </c>
      <c r="C37" s="216">
        <v>478</v>
      </c>
      <c r="D37" s="216">
        <v>0</v>
      </c>
      <c r="E37" s="216">
        <v>478</v>
      </c>
      <c r="F37" s="208">
        <f t="shared" si="0"/>
        <v>0</v>
      </c>
    </row>
    <row r="38" spans="1:6" x14ac:dyDescent="0.3">
      <c r="A38" s="33">
        <v>27</v>
      </c>
      <c r="B38" s="4" t="s">
        <v>227</v>
      </c>
      <c r="C38" s="216">
        <v>2000</v>
      </c>
      <c r="D38" s="216">
        <v>2000</v>
      </c>
      <c r="E38" s="216"/>
      <c r="F38" s="208">
        <f t="shared" si="0"/>
        <v>0</v>
      </c>
    </row>
    <row r="39" spans="1:6" x14ac:dyDescent="0.3">
      <c r="A39" s="33">
        <v>28</v>
      </c>
      <c r="B39" s="210" t="s">
        <v>228</v>
      </c>
      <c r="C39" s="211">
        <v>156.9</v>
      </c>
      <c r="D39" s="211">
        <v>156.9</v>
      </c>
      <c r="E39" s="211"/>
      <c r="F39" s="208">
        <f t="shared" si="0"/>
        <v>0</v>
      </c>
    </row>
    <row r="40" spans="1:6" x14ac:dyDescent="0.3">
      <c r="A40" s="33">
        <v>29</v>
      </c>
      <c r="B40" s="4" t="s">
        <v>229</v>
      </c>
      <c r="C40" s="216">
        <v>1300</v>
      </c>
      <c r="D40" s="216">
        <v>1300</v>
      </c>
      <c r="E40" s="216"/>
      <c r="F40" s="208">
        <f t="shared" si="0"/>
        <v>0</v>
      </c>
    </row>
    <row r="41" spans="1:6" ht="31.2" x14ac:dyDescent="0.3">
      <c r="A41" s="33">
        <v>30</v>
      </c>
      <c r="B41" s="4" t="s">
        <v>230</v>
      </c>
      <c r="C41" s="216">
        <v>275.91500000000002</v>
      </c>
      <c r="D41" s="216">
        <v>275.91500000000002</v>
      </c>
      <c r="E41" s="216"/>
      <c r="F41" s="208">
        <f t="shared" si="0"/>
        <v>0</v>
      </c>
    </row>
    <row r="42" spans="1:6" ht="31.2" x14ac:dyDescent="0.3">
      <c r="A42" s="33">
        <v>31</v>
      </c>
      <c r="B42" s="4" t="s">
        <v>231</v>
      </c>
      <c r="C42" s="216">
        <v>8</v>
      </c>
      <c r="D42" s="216">
        <v>8</v>
      </c>
      <c r="E42" s="216"/>
      <c r="F42" s="208">
        <f t="shared" si="0"/>
        <v>0</v>
      </c>
    </row>
    <row r="43" spans="1:6" ht="31.2" x14ac:dyDescent="0.3">
      <c r="A43" s="33">
        <v>32</v>
      </c>
      <c r="B43" s="210" t="s">
        <v>154</v>
      </c>
      <c r="C43" s="211">
        <v>400</v>
      </c>
      <c r="D43" s="211">
        <v>0</v>
      </c>
      <c r="E43" s="211">
        <v>400</v>
      </c>
      <c r="F43" s="208">
        <f t="shared" si="0"/>
        <v>0</v>
      </c>
    </row>
    <row r="44" spans="1:6" x14ac:dyDescent="0.3">
      <c r="A44" s="33">
        <v>33</v>
      </c>
      <c r="B44" s="210" t="s">
        <v>152</v>
      </c>
      <c r="C44" s="211">
        <v>638</v>
      </c>
      <c r="D44" s="211">
        <v>0</v>
      </c>
      <c r="E44" s="211">
        <v>638</v>
      </c>
      <c r="F44" s="208">
        <f t="shared" si="0"/>
        <v>0</v>
      </c>
    </row>
    <row r="45" spans="1:6" s="70" customFormat="1" x14ac:dyDescent="0.3">
      <c r="A45" s="91" t="s">
        <v>29</v>
      </c>
      <c r="B45" s="217" t="s">
        <v>156</v>
      </c>
      <c r="C45" s="218">
        <f>C46+C51+C56</f>
        <v>2899.9439929999999</v>
      </c>
      <c r="D45" s="218">
        <f>D46+D51+D56</f>
        <v>611.76487399999996</v>
      </c>
      <c r="E45" s="218">
        <f t="shared" ref="E45:F45" si="1">E46+E51+E56</f>
        <v>1.8954</v>
      </c>
      <c r="F45" s="218">
        <f t="shared" si="1"/>
        <v>2286.283719</v>
      </c>
    </row>
    <row r="46" spans="1:6" s="70" customFormat="1" x14ac:dyDescent="0.3">
      <c r="A46" s="91">
        <v>1</v>
      </c>
      <c r="B46" s="219" t="s">
        <v>232</v>
      </c>
      <c r="C46" s="218">
        <f>C47+C50</f>
        <v>206.604748</v>
      </c>
      <c r="D46" s="218">
        <f>D47+D50</f>
        <v>200.772548</v>
      </c>
      <c r="E46" s="218">
        <f>E47+E50</f>
        <v>1.8954</v>
      </c>
      <c r="F46" s="208">
        <f t="shared" si="0"/>
        <v>3.9368000000000003</v>
      </c>
    </row>
    <row r="47" spans="1:6" ht="62.4" x14ac:dyDescent="0.3">
      <c r="A47" s="33"/>
      <c r="B47" s="210" t="s">
        <v>233</v>
      </c>
      <c r="C47" s="176">
        <f>C48+C49</f>
        <v>118.3322</v>
      </c>
      <c r="D47" s="208">
        <f>D48+D49</f>
        <v>112.5</v>
      </c>
      <c r="E47" s="208">
        <f>E48+E49</f>
        <v>1.8954</v>
      </c>
      <c r="F47" s="208">
        <f t="shared" si="0"/>
        <v>3.9368000000000003</v>
      </c>
    </row>
    <row r="48" spans="1:6" s="71" customFormat="1" ht="31.2" x14ac:dyDescent="0.3">
      <c r="A48" s="220"/>
      <c r="B48" s="221" t="s">
        <v>234</v>
      </c>
      <c r="C48" s="1">
        <v>112.5</v>
      </c>
      <c r="D48" s="222">
        <v>112.5</v>
      </c>
      <c r="E48" s="222"/>
      <c r="F48" s="208">
        <f t="shared" si="0"/>
        <v>0</v>
      </c>
    </row>
    <row r="49" spans="1:6" s="71" customFormat="1" ht="31.2" x14ac:dyDescent="0.3">
      <c r="A49" s="220"/>
      <c r="B49" s="221" t="s">
        <v>235</v>
      </c>
      <c r="C49" s="1">
        <v>5.8322000000000003</v>
      </c>
      <c r="D49" s="223">
        <v>0</v>
      </c>
      <c r="E49" s="224">
        <f>1.2636+0.6318</f>
        <v>1.8954</v>
      </c>
      <c r="F49" s="208">
        <f t="shared" si="0"/>
        <v>3.9368000000000003</v>
      </c>
    </row>
    <row r="50" spans="1:6" ht="62.4" x14ac:dyDescent="0.3">
      <c r="A50" s="33"/>
      <c r="B50" s="210" t="s">
        <v>236</v>
      </c>
      <c r="C50" s="176">
        <v>88.272548</v>
      </c>
      <c r="D50" s="176">
        <v>88.272548</v>
      </c>
      <c r="E50" s="176"/>
      <c r="F50" s="208">
        <f t="shared" si="0"/>
        <v>0</v>
      </c>
    </row>
    <row r="51" spans="1:6" s="70" customFormat="1" x14ac:dyDescent="0.3">
      <c r="A51" s="91">
        <v>2</v>
      </c>
      <c r="B51" s="219" t="s">
        <v>237</v>
      </c>
      <c r="C51" s="218">
        <f>SUM(C52:C55)</f>
        <v>413.39511900000002</v>
      </c>
      <c r="D51" s="218">
        <f>SUM(D52:D55)</f>
        <v>88.607518999999996</v>
      </c>
      <c r="E51" s="218"/>
      <c r="F51" s="231">
        <f t="shared" si="0"/>
        <v>324.7876</v>
      </c>
    </row>
    <row r="52" spans="1:6" ht="62.4" x14ac:dyDescent="0.3">
      <c r="A52" s="33"/>
      <c r="B52" s="210" t="s">
        <v>238</v>
      </c>
      <c r="C52" s="225">
        <v>324.7876</v>
      </c>
      <c r="D52" s="177">
        <v>0</v>
      </c>
      <c r="E52" s="177"/>
      <c r="F52" s="208">
        <f t="shared" si="0"/>
        <v>324.7876</v>
      </c>
    </row>
    <row r="53" spans="1:6" ht="109.2" x14ac:dyDescent="0.3">
      <c r="A53" s="33"/>
      <c r="B53" s="210" t="s">
        <v>239</v>
      </c>
      <c r="C53" s="225">
        <v>36</v>
      </c>
      <c r="D53" s="176">
        <v>36</v>
      </c>
      <c r="E53" s="176"/>
      <c r="F53" s="208">
        <f t="shared" si="0"/>
        <v>0</v>
      </c>
    </row>
    <row r="54" spans="1:6" x14ac:dyDescent="0.3">
      <c r="A54" s="33"/>
      <c r="B54" s="210" t="s">
        <v>240</v>
      </c>
      <c r="C54" s="225">
        <v>52</v>
      </c>
      <c r="D54" s="176">
        <v>52</v>
      </c>
      <c r="E54" s="176"/>
      <c r="F54" s="208">
        <f t="shared" si="0"/>
        <v>0</v>
      </c>
    </row>
    <row r="55" spans="1:6" ht="46.8" x14ac:dyDescent="0.3">
      <c r="A55" s="33"/>
      <c r="B55" s="210" t="s">
        <v>241</v>
      </c>
      <c r="C55" s="225">
        <v>0.60751900000000003</v>
      </c>
      <c r="D55" s="225">
        <v>0.60751900000000003</v>
      </c>
      <c r="E55" s="225"/>
      <c r="F55" s="208">
        <f t="shared" si="0"/>
        <v>0</v>
      </c>
    </row>
    <row r="56" spans="1:6" s="70" customFormat="1" x14ac:dyDescent="0.3">
      <c r="A56" s="91">
        <v>3</v>
      </c>
      <c r="B56" s="219" t="s">
        <v>242</v>
      </c>
      <c r="C56" s="218">
        <f>C57+C60+C64+C65</f>
        <v>2279.9441259999999</v>
      </c>
      <c r="D56" s="218">
        <f>D57+D60+D64+D65</f>
        <v>322.38480699999997</v>
      </c>
      <c r="E56" s="218"/>
      <c r="F56" s="231">
        <f t="shared" si="0"/>
        <v>1957.559319</v>
      </c>
    </row>
    <row r="57" spans="1:6" ht="31.2" x14ac:dyDescent="0.3">
      <c r="A57" s="33"/>
      <c r="B57" s="226" t="s">
        <v>243</v>
      </c>
      <c r="C57" s="209">
        <f>SUM(C58:C59)</f>
        <v>1940.5007189999999</v>
      </c>
      <c r="D57" s="209">
        <f>SUM(D58:D59)</f>
        <v>0</v>
      </c>
      <c r="E57" s="209"/>
      <c r="F57" s="208">
        <f t="shared" si="0"/>
        <v>1940.5007189999999</v>
      </c>
    </row>
    <row r="58" spans="1:6" s="71" customFormat="1" x14ac:dyDescent="0.3">
      <c r="A58" s="220"/>
      <c r="B58" s="227" t="s">
        <v>244</v>
      </c>
      <c r="C58" s="228">
        <f>705.333797</f>
        <v>705.333797</v>
      </c>
      <c r="D58" s="228"/>
      <c r="E58" s="228"/>
      <c r="F58" s="208">
        <f t="shared" si="0"/>
        <v>705.333797</v>
      </c>
    </row>
    <row r="59" spans="1:6" s="71" customFormat="1" ht="31.2" x14ac:dyDescent="0.3">
      <c r="A59" s="220"/>
      <c r="B59" s="227" t="s">
        <v>245</v>
      </c>
      <c r="C59" s="228">
        <f>1240.066922-4.9</f>
        <v>1235.1669219999999</v>
      </c>
      <c r="D59" s="228"/>
      <c r="E59" s="228"/>
      <c r="F59" s="208">
        <f t="shared" si="0"/>
        <v>1235.1669219999999</v>
      </c>
    </row>
    <row r="60" spans="1:6" ht="62.4" x14ac:dyDescent="0.3">
      <c r="A60" s="33"/>
      <c r="B60" s="226" t="s">
        <v>246</v>
      </c>
      <c r="C60" s="225">
        <f>C61+C62+C63</f>
        <v>308.54500000000002</v>
      </c>
      <c r="D60" s="225">
        <f>D61+D62+D63</f>
        <v>291.4864</v>
      </c>
      <c r="E60" s="225"/>
      <c r="F60" s="208">
        <f t="shared" si="0"/>
        <v>17.058600000000013</v>
      </c>
    </row>
    <row r="61" spans="1:6" s="71" customFormat="1" ht="62.4" x14ac:dyDescent="0.3">
      <c r="A61" s="220"/>
      <c r="B61" s="229" t="s">
        <v>247</v>
      </c>
      <c r="C61" s="230">
        <v>18.954000000000001</v>
      </c>
      <c r="D61" s="222">
        <f>1.2636+0.6318</f>
        <v>1.8954</v>
      </c>
      <c r="E61" s="222"/>
      <c r="F61" s="208">
        <f t="shared" si="0"/>
        <v>17.058600000000002</v>
      </c>
    </row>
    <row r="62" spans="1:6" s="71" customFormat="1" ht="46.8" x14ac:dyDescent="0.3">
      <c r="A62" s="220"/>
      <c r="B62" s="229" t="s">
        <v>248</v>
      </c>
      <c r="C62" s="230">
        <v>250</v>
      </c>
      <c r="D62" s="222">
        <v>250</v>
      </c>
      <c r="E62" s="222"/>
      <c r="F62" s="208">
        <f t="shared" si="0"/>
        <v>0</v>
      </c>
    </row>
    <row r="63" spans="1:6" s="71" customFormat="1" ht="62.4" x14ac:dyDescent="0.3">
      <c r="A63" s="220"/>
      <c r="B63" s="229" t="s">
        <v>249</v>
      </c>
      <c r="C63" s="230">
        <v>39.591000000000001</v>
      </c>
      <c r="D63" s="222">
        <v>39.591000000000001</v>
      </c>
      <c r="E63" s="222"/>
      <c r="F63" s="208">
        <f t="shared" si="0"/>
        <v>0</v>
      </c>
    </row>
    <row r="64" spans="1:6" ht="46.8" x14ac:dyDescent="0.3">
      <c r="A64" s="33"/>
      <c r="B64" s="226" t="s">
        <v>250</v>
      </c>
      <c r="C64" s="176">
        <v>25.998407</v>
      </c>
      <c r="D64" s="176">
        <v>25.998407</v>
      </c>
      <c r="E64" s="176"/>
      <c r="F64" s="208">
        <f t="shared" si="0"/>
        <v>0</v>
      </c>
    </row>
    <row r="65" spans="1:6" s="70" customFormat="1" ht="93.6" x14ac:dyDescent="0.3">
      <c r="A65" s="91"/>
      <c r="B65" s="226" t="s">
        <v>251</v>
      </c>
      <c r="C65" s="176">
        <v>4.9000000000000004</v>
      </c>
      <c r="D65" s="176">
        <v>4.9000000000000004</v>
      </c>
      <c r="E65" s="176"/>
      <c r="F65" s="208">
        <f t="shared" si="0"/>
        <v>0</v>
      </c>
    </row>
    <row r="66" spans="1:6" s="70" customFormat="1" x14ac:dyDescent="0.3">
      <c r="A66" s="91" t="s">
        <v>83</v>
      </c>
      <c r="B66" s="219" t="s">
        <v>157</v>
      </c>
      <c r="C66" s="218">
        <f>C67+C69</f>
        <v>904.08579999999995</v>
      </c>
      <c r="D66" s="218">
        <f>D67+D69</f>
        <v>904.08579999999995</v>
      </c>
      <c r="E66" s="218"/>
      <c r="F66" s="208">
        <f t="shared" si="0"/>
        <v>0</v>
      </c>
    </row>
    <row r="67" spans="1:6" s="70" customFormat="1" x14ac:dyDescent="0.3">
      <c r="A67" s="91">
        <v>1</v>
      </c>
      <c r="B67" s="219" t="s">
        <v>232</v>
      </c>
      <c r="C67" s="218">
        <f>C68</f>
        <v>50.352800000000002</v>
      </c>
      <c r="D67" s="231">
        <f>C67</f>
        <v>50.352800000000002</v>
      </c>
      <c r="E67" s="231"/>
      <c r="F67" s="208">
        <f t="shared" si="0"/>
        <v>0</v>
      </c>
    </row>
    <row r="68" spans="1:6" x14ac:dyDescent="0.3">
      <c r="A68" s="33"/>
      <c r="B68" s="210" t="s">
        <v>252</v>
      </c>
      <c r="C68" s="176">
        <v>50.352800000000002</v>
      </c>
      <c r="D68" s="208">
        <f>C68</f>
        <v>50.352800000000002</v>
      </c>
      <c r="E68" s="208"/>
      <c r="F68" s="208">
        <f t="shared" si="0"/>
        <v>0</v>
      </c>
    </row>
    <row r="69" spans="1:6" s="70" customFormat="1" x14ac:dyDescent="0.3">
      <c r="A69" s="91">
        <v>2</v>
      </c>
      <c r="B69" s="219" t="s">
        <v>242</v>
      </c>
      <c r="C69" s="218">
        <f>C70+C71+C72</f>
        <v>853.73299999999995</v>
      </c>
      <c r="D69" s="218">
        <f>D70+D71+D72</f>
        <v>853.73299999999995</v>
      </c>
      <c r="E69" s="218"/>
      <c r="F69" s="208">
        <f t="shared" si="0"/>
        <v>0</v>
      </c>
    </row>
    <row r="70" spans="1:6" ht="31.2" x14ac:dyDescent="0.3">
      <c r="A70" s="33"/>
      <c r="B70" s="232" t="s">
        <v>253</v>
      </c>
      <c r="C70" s="176">
        <v>2.9529999999999998</v>
      </c>
      <c r="D70" s="208">
        <f>C70</f>
        <v>2.9529999999999998</v>
      </c>
      <c r="E70" s="208"/>
      <c r="F70" s="208">
        <f t="shared" si="0"/>
        <v>0</v>
      </c>
    </row>
    <row r="71" spans="1:6" ht="31.2" x14ac:dyDescent="0.3">
      <c r="A71" s="33"/>
      <c r="B71" s="207" t="s">
        <v>254</v>
      </c>
      <c r="C71" s="178">
        <v>0.01</v>
      </c>
      <c r="D71" s="208">
        <f>C71</f>
        <v>0.01</v>
      </c>
      <c r="E71" s="208"/>
      <c r="F71" s="208">
        <f t="shared" si="0"/>
        <v>0</v>
      </c>
    </row>
    <row r="72" spans="1:6" s="70" customFormat="1" ht="31.2" x14ac:dyDescent="0.3">
      <c r="A72" s="91"/>
      <c r="B72" s="233" t="s">
        <v>255</v>
      </c>
      <c r="C72" s="176">
        <v>850.77</v>
      </c>
      <c r="D72" s="208">
        <f>C72</f>
        <v>850.77</v>
      </c>
      <c r="E72" s="208"/>
      <c r="F72" s="208">
        <f t="shared" si="0"/>
        <v>0</v>
      </c>
    </row>
    <row r="73" spans="1:6" ht="10.95" customHeight="1" x14ac:dyDescent="0.3">
      <c r="B73" s="72"/>
      <c r="C73" s="73"/>
      <c r="D73" s="74"/>
      <c r="E73" s="74"/>
      <c r="F73" s="74"/>
    </row>
    <row r="74" spans="1:6" ht="23.4" customHeight="1" x14ac:dyDescent="0.3">
      <c r="B74" s="72"/>
      <c r="C74" s="341" t="s">
        <v>114</v>
      </c>
      <c r="D74" s="341"/>
      <c r="E74" s="341"/>
      <c r="F74" s="341"/>
    </row>
  </sheetData>
  <mergeCells count="7">
    <mergeCell ref="D7:F7"/>
    <mergeCell ref="C74:F74"/>
    <mergeCell ref="A1:B1"/>
    <mergeCell ref="A2:B2"/>
    <mergeCell ref="A4:F4"/>
    <mergeCell ref="A5:F5"/>
    <mergeCell ref="B6:C6"/>
  </mergeCells>
  <pageMargins left="0.2" right="0.2" top="0.5" bottom="0"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2D6DF-99DE-4906-84C0-9D0048FFE620}">
  <dimension ref="A1:T94"/>
  <sheetViews>
    <sheetView workbookViewId="0">
      <selection activeCell="M51" sqref="M51"/>
    </sheetView>
  </sheetViews>
  <sheetFormatPr defaultColWidth="8.88671875" defaultRowHeight="15" customHeight="1" x14ac:dyDescent="0.3"/>
  <cols>
    <col min="1" max="1" width="4.44140625" style="290" customWidth="1"/>
    <col min="2" max="2" width="40.21875" style="296" customWidth="1"/>
    <col min="3" max="3" width="8.5546875" style="238" hidden="1" customWidth="1"/>
    <col min="4" max="4" width="9.77734375" style="238" hidden="1" customWidth="1"/>
    <col min="5" max="5" width="8.44140625" style="296" hidden="1" customWidth="1"/>
    <col min="6" max="6" width="7.5546875" style="296" hidden="1" customWidth="1"/>
    <col min="7" max="7" width="10.33203125" style="296" hidden="1" customWidth="1"/>
    <col min="8" max="8" width="7.77734375" style="296" hidden="1" customWidth="1"/>
    <col min="9" max="9" width="7.109375" style="296" hidden="1" customWidth="1"/>
    <col min="10" max="10" width="8.88671875" style="296" hidden="1" customWidth="1"/>
    <col min="11" max="12" width="8.6640625" style="296" customWidth="1"/>
    <col min="13" max="13" width="8.21875" style="296" customWidth="1"/>
    <col min="14" max="14" width="7.44140625" style="296" customWidth="1"/>
    <col min="15" max="15" width="7.109375" style="303" customWidth="1"/>
    <col min="16" max="16" width="7" style="300" customWidth="1"/>
    <col min="17" max="17" width="7.21875" style="300" customWidth="1"/>
    <col min="18" max="18" width="6.21875" style="296" customWidth="1"/>
    <col min="19" max="16384" width="8.88671875" style="296"/>
  </cols>
  <sheetData>
    <row r="1" spans="1:20" s="237" customFormat="1" ht="16.2" x14ac:dyDescent="0.3">
      <c r="A1" s="344" t="s">
        <v>198</v>
      </c>
      <c r="B1" s="344"/>
      <c r="C1" s="235"/>
      <c r="D1" s="235"/>
      <c r="E1" s="345"/>
      <c r="F1" s="345"/>
      <c r="G1" s="236"/>
      <c r="J1" s="343"/>
      <c r="K1" s="343"/>
      <c r="L1" s="343"/>
      <c r="O1" s="303"/>
      <c r="P1" s="300"/>
      <c r="Q1" s="300"/>
    </row>
    <row r="2" spans="1:20" s="237" customFormat="1" ht="15.6" x14ac:dyDescent="0.3">
      <c r="A2" s="344" t="s">
        <v>320</v>
      </c>
      <c r="B2" s="344"/>
      <c r="C2" s="235"/>
      <c r="D2" s="235"/>
      <c r="E2" s="239"/>
      <c r="F2" s="239"/>
      <c r="G2" s="239"/>
      <c r="O2" s="303"/>
      <c r="P2" s="300"/>
      <c r="Q2" s="300"/>
    </row>
    <row r="3" spans="1:20" s="237" customFormat="1" ht="6" customHeight="1" x14ac:dyDescent="0.3">
      <c r="A3" s="234"/>
      <c r="B3" s="234"/>
      <c r="C3" s="235"/>
      <c r="D3" s="235"/>
      <c r="E3" s="239"/>
      <c r="F3" s="239"/>
      <c r="G3" s="239"/>
      <c r="O3" s="303"/>
      <c r="P3" s="300"/>
      <c r="Q3" s="300"/>
    </row>
    <row r="4" spans="1:20" s="237" customFormat="1" ht="15.6" x14ac:dyDescent="0.3">
      <c r="A4" s="346" t="s">
        <v>369</v>
      </c>
      <c r="B4" s="346"/>
      <c r="C4" s="346"/>
      <c r="D4" s="346"/>
      <c r="E4" s="346"/>
      <c r="F4" s="346"/>
      <c r="G4" s="346"/>
      <c r="H4" s="346"/>
      <c r="I4" s="346"/>
      <c r="J4" s="346"/>
      <c r="K4" s="346"/>
      <c r="L4" s="346"/>
      <c r="M4" s="346"/>
      <c r="N4" s="346"/>
      <c r="O4" s="346"/>
      <c r="P4" s="346"/>
      <c r="Q4" s="346"/>
    </row>
    <row r="5" spans="1:20" s="237" customFormat="1" ht="15.6" x14ac:dyDescent="0.3">
      <c r="A5" s="343" t="s">
        <v>370</v>
      </c>
      <c r="B5" s="343"/>
      <c r="C5" s="343"/>
      <c r="D5" s="343"/>
      <c r="E5" s="343"/>
      <c r="F5" s="343"/>
      <c r="G5" s="343"/>
      <c r="H5" s="343"/>
      <c r="I5" s="343"/>
      <c r="J5" s="343"/>
      <c r="K5" s="343"/>
      <c r="L5" s="343"/>
      <c r="M5" s="343"/>
      <c r="N5" s="343"/>
      <c r="O5" s="343"/>
      <c r="P5" s="343"/>
      <c r="Q5" s="343"/>
    </row>
    <row r="6" spans="1:20" s="237" customFormat="1" ht="9.6" customHeight="1" x14ac:dyDescent="0.3">
      <c r="A6" s="348"/>
      <c r="B6" s="348"/>
      <c r="C6" s="348"/>
      <c r="D6" s="348"/>
      <c r="E6" s="348"/>
      <c r="F6" s="348"/>
      <c r="G6" s="348"/>
      <c r="H6" s="348"/>
      <c r="I6" s="348"/>
      <c r="J6" s="348"/>
      <c r="K6" s="348"/>
      <c r="L6" s="348"/>
      <c r="O6" s="303"/>
      <c r="P6" s="300"/>
      <c r="Q6" s="300"/>
    </row>
    <row r="7" spans="1:20" s="237" customFormat="1" ht="15.6" customHeight="1" x14ac:dyDescent="0.3">
      <c r="A7" s="240"/>
      <c r="B7" s="240"/>
      <c r="C7" s="241"/>
      <c r="D7" s="241"/>
      <c r="E7" s="348"/>
      <c r="F7" s="348"/>
      <c r="G7" s="240"/>
      <c r="J7" s="242"/>
      <c r="K7" s="242"/>
      <c r="L7" s="242"/>
      <c r="M7" s="242"/>
      <c r="N7" s="242"/>
      <c r="O7" s="359" t="s">
        <v>321</v>
      </c>
      <c r="P7" s="359"/>
      <c r="Q7" s="359"/>
    </row>
    <row r="8" spans="1:20" s="237" customFormat="1" ht="15.6" customHeight="1" x14ac:dyDescent="0.3">
      <c r="A8" s="240"/>
      <c r="B8" s="240"/>
      <c r="C8" s="241"/>
      <c r="D8" s="241"/>
      <c r="E8" s="240"/>
      <c r="F8" s="240"/>
      <c r="G8" s="240"/>
      <c r="J8" s="242"/>
      <c r="K8" s="242"/>
      <c r="L8" s="240"/>
      <c r="M8" s="240"/>
      <c r="N8" s="240"/>
      <c r="O8" s="304"/>
      <c r="P8" s="301"/>
      <c r="Q8" s="301"/>
    </row>
    <row r="9" spans="1:20" s="243" customFormat="1" ht="19.2" customHeight="1" x14ac:dyDescent="0.3">
      <c r="A9" s="362" t="s">
        <v>199</v>
      </c>
      <c r="B9" s="350" t="s">
        <v>322</v>
      </c>
      <c r="C9" s="349" t="s">
        <v>323</v>
      </c>
      <c r="D9" s="349" t="s">
        <v>324</v>
      </c>
      <c r="E9" s="350" t="s">
        <v>325</v>
      </c>
      <c r="F9" s="350"/>
      <c r="G9" s="351" t="s">
        <v>326</v>
      </c>
      <c r="H9" s="354" t="s">
        <v>327</v>
      </c>
      <c r="I9" s="355"/>
      <c r="J9" s="356" t="s">
        <v>328</v>
      </c>
      <c r="K9" s="349" t="s">
        <v>371</v>
      </c>
      <c r="L9" s="347" t="s">
        <v>372</v>
      </c>
      <c r="M9" s="366" t="s">
        <v>325</v>
      </c>
      <c r="N9" s="366"/>
      <c r="O9" s="363" t="s">
        <v>116</v>
      </c>
      <c r="P9" s="364" t="s">
        <v>325</v>
      </c>
      <c r="Q9" s="364"/>
    </row>
    <row r="10" spans="1:20" s="243" customFormat="1" ht="19.8" customHeight="1" x14ac:dyDescent="0.3">
      <c r="A10" s="362"/>
      <c r="B10" s="350"/>
      <c r="C10" s="349"/>
      <c r="D10" s="349"/>
      <c r="E10" s="350" t="s">
        <v>329</v>
      </c>
      <c r="F10" s="350" t="s">
        <v>330</v>
      </c>
      <c r="G10" s="352"/>
      <c r="H10" s="356" t="s">
        <v>331</v>
      </c>
      <c r="I10" s="356" t="s">
        <v>332</v>
      </c>
      <c r="J10" s="357"/>
      <c r="K10" s="349"/>
      <c r="L10" s="347"/>
      <c r="M10" s="350" t="s">
        <v>329</v>
      </c>
      <c r="N10" s="350" t="s">
        <v>330</v>
      </c>
      <c r="O10" s="363"/>
      <c r="P10" s="365" t="s">
        <v>329</v>
      </c>
      <c r="Q10" s="365" t="s">
        <v>330</v>
      </c>
    </row>
    <row r="11" spans="1:20" s="243" customFormat="1" ht="22.2" customHeight="1" x14ac:dyDescent="0.3">
      <c r="A11" s="362"/>
      <c r="B11" s="350"/>
      <c r="C11" s="349"/>
      <c r="D11" s="349"/>
      <c r="E11" s="350"/>
      <c r="F11" s="350"/>
      <c r="G11" s="353"/>
      <c r="H11" s="358"/>
      <c r="I11" s="358"/>
      <c r="J11" s="358"/>
      <c r="K11" s="349"/>
      <c r="L11" s="347"/>
      <c r="M11" s="350"/>
      <c r="N11" s="350"/>
      <c r="O11" s="363"/>
      <c r="P11" s="365"/>
      <c r="Q11" s="365"/>
    </row>
    <row r="12" spans="1:20" s="248" customFormat="1" ht="19.2" customHeight="1" x14ac:dyDescent="0.3">
      <c r="A12" s="244"/>
      <c r="B12" s="245" t="s">
        <v>333</v>
      </c>
      <c r="C12" s="246">
        <f t="shared" ref="C12:F12" si="0">C13+C29+C34</f>
        <v>42124</v>
      </c>
      <c r="D12" s="246">
        <f t="shared" si="0"/>
        <v>21919</v>
      </c>
      <c r="E12" s="247">
        <f t="shared" si="0"/>
        <v>16919</v>
      </c>
      <c r="F12" s="247">
        <f t="shared" si="0"/>
        <v>5000</v>
      </c>
      <c r="G12" s="247">
        <f>G13+G29+G34+G39</f>
        <v>29886</v>
      </c>
      <c r="H12" s="247">
        <f t="shared" ref="H12:Q12" si="1">H13+H29+H34+H39</f>
        <v>4300</v>
      </c>
      <c r="I12" s="247">
        <f t="shared" si="1"/>
        <v>4380</v>
      </c>
      <c r="J12" s="247">
        <f t="shared" si="1"/>
        <v>2919</v>
      </c>
      <c r="K12" s="247">
        <f t="shared" si="1"/>
        <v>72010</v>
      </c>
      <c r="L12" s="299">
        <f t="shared" si="1"/>
        <v>27680</v>
      </c>
      <c r="M12" s="299">
        <f t="shared" si="1"/>
        <v>18380</v>
      </c>
      <c r="N12" s="299">
        <f t="shared" si="1"/>
        <v>9300</v>
      </c>
      <c r="O12" s="299">
        <f t="shared" si="1"/>
        <v>866.32</v>
      </c>
      <c r="P12" s="299">
        <f t="shared" si="1"/>
        <v>602.90800000000013</v>
      </c>
      <c r="Q12" s="299">
        <f t="shared" si="1"/>
        <v>263.41199999999998</v>
      </c>
      <c r="T12" s="256"/>
    </row>
    <row r="13" spans="1:20" s="248" customFormat="1" ht="19.2" customHeight="1" x14ac:dyDescent="0.3">
      <c r="A13" s="244" t="s">
        <v>5</v>
      </c>
      <c r="B13" s="245" t="s">
        <v>334</v>
      </c>
      <c r="C13" s="246">
        <f>SUM(C14:C28)</f>
        <v>16050</v>
      </c>
      <c r="D13" s="246">
        <f t="shared" ref="D13:Q13" si="2">SUM(D14:D28)</f>
        <v>14550</v>
      </c>
      <c r="E13" s="246">
        <f t="shared" si="2"/>
        <v>9550</v>
      </c>
      <c r="F13" s="246">
        <f t="shared" si="2"/>
        <v>5000</v>
      </c>
      <c r="G13" s="246">
        <f t="shared" si="2"/>
        <v>8600</v>
      </c>
      <c r="H13" s="246">
        <f t="shared" si="2"/>
        <v>4300</v>
      </c>
      <c r="I13" s="246">
        <f t="shared" si="2"/>
        <v>0</v>
      </c>
      <c r="J13" s="246">
        <f t="shared" si="2"/>
        <v>800</v>
      </c>
      <c r="K13" s="246">
        <f t="shared" si="2"/>
        <v>24650</v>
      </c>
      <c r="L13" s="246">
        <f t="shared" si="2"/>
        <v>18050</v>
      </c>
      <c r="M13" s="246">
        <f t="shared" si="2"/>
        <v>8750</v>
      </c>
      <c r="N13" s="246">
        <f t="shared" si="2"/>
        <v>9300</v>
      </c>
      <c r="O13" s="246">
        <f t="shared" si="2"/>
        <v>337.4</v>
      </c>
      <c r="P13" s="246">
        <f t="shared" si="2"/>
        <v>73.988</v>
      </c>
      <c r="Q13" s="246">
        <f t="shared" si="2"/>
        <v>263.41199999999998</v>
      </c>
    </row>
    <row r="14" spans="1:20" s="248" customFormat="1" ht="27.6" x14ac:dyDescent="0.3">
      <c r="A14" s="249">
        <v>1</v>
      </c>
      <c r="B14" s="250" t="s">
        <v>335</v>
      </c>
      <c r="C14" s="251">
        <v>550</v>
      </c>
      <c r="D14" s="251">
        <v>550</v>
      </c>
      <c r="E14" s="252">
        <f>D14</f>
        <v>550</v>
      </c>
      <c r="F14" s="252"/>
      <c r="G14" s="252"/>
      <c r="H14" s="253"/>
      <c r="I14" s="253"/>
      <c r="J14" s="253"/>
      <c r="K14" s="253">
        <f>C14+G14</f>
        <v>550</v>
      </c>
      <c r="L14" s="254">
        <f t="shared" ref="L14:L28" si="3">E14+F14+H14-J14</f>
        <v>550</v>
      </c>
      <c r="M14" s="254">
        <f>L14</f>
        <v>550</v>
      </c>
      <c r="N14" s="255"/>
      <c r="O14" s="306">
        <v>30.677</v>
      </c>
      <c r="P14" s="306"/>
      <c r="Q14" s="306">
        <f>O14</f>
        <v>30.677</v>
      </c>
    </row>
    <row r="15" spans="1:20" s="248" customFormat="1" ht="41.4" x14ac:dyDescent="0.3">
      <c r="A15" s="249">
        <v>2</v>
      </c>
      <c r="B15" s="250" t="s">
        <v>336</v>
      </c>
      <c r="C15" s="251">
        <v>500</v>
      </c>
      <c r="D15" s="251">
        <v>500</v>
      </c>
      <c r="E15" s="252">
        <f t="shared" ref="E15:E16" si="4">D15</f>
        <v>500</v>
      </c>
      <c r="F15" s="252"/>
      <c r="G15" s="252"/>
      <c r="H15" s="253"/>
      <c r="I15" s="253"/>
      <c r="J15" s="253"/>
      <c r="K15" s="253">
        <f t="shared" ref="K15:K48" si="5">C15+G15</f>
        <v>500</v>
      </c>
      <c r="L15" s="254">
        <f t="shared" si="3"/>
        <v>500</v>
      </c>
      <c r="M15" s="254">
        <f t="shared" ref="M15:M26" si="6">L15</f>
        <v>500</v>
      </c>
      <c r="N15" s="255"/>
      <c r="O15" s="306">
        <v>26.843</v>
      </c>
      <c r="P15" s="306"/>
      <c r="Q15" s="306">
        <f>O15</f>
        <v>26.843</v>
      </c>
    </row>
    <row r="16" spans="1:20" s="248" customFormat="1" ht="41.4" x14ac:dyDescent="0.3">
      <c r="A16" s="249">
        <v>3</v>
      </c>
      <c r="B16" s="250" t="s">
        <v>337</v>
      </c>
      <c r="C16" s="251">
        <v>800</v>
      </c>
      <c r="D16" s="251">
        <v>800</v>
      </c>
      <c r="E16" s="252">
        <f t="shared" si="4"/>
        <v>800</v>
      </c>
      <c r="F16" s="252"/>
      <c r="G16" s="252"/>
      <c r="H16" s="253"/>
      <c r="I16" s="253"/>
      <c r="J16" s="253"/>
      <c r="K16" s="253">
        <f t="shared" si="5"/>
        <v>800</v>
      </c>
      <c r="L16" s="254">
        <f t="shared" si="3"/>
        <v>800</v>
      </c>
      <c r="M16" s="254">
        <f t="shared" si="6"/>
        <v>800</v>
      </c>
      <c r="N16" s="255"/>
      <c r="O16" s="306">
        <v>44.927999999999997</v>
      </c>
      <c r="P16" s="306"/>
      <c r="Q16" s="306">
        <f>O16</f>
        <v>44.927999999999997</v>
      </c>
    </row>
    <row r="17" spans="1:18" s="248" customFormat="1" ht="41.4" x14ac:dyDescent="0.3">
      <c r="A17" s="249">
        <v>4</v>
      </c>
      <c r="B17" s="250" t="s">
        <v>338</v>
      </c>
      <c r="C17" s="251">
        <v>1000</v>
      </c>
      <c r="D17" s="251">
        <v>1000</v>
      </c>
      <c r="E17" s="251">
        <v>1000</v>
      </c>
      <c r="F17" s="251"/>
      <c r="G17" s="251"/>
      <c r="H17" s="253"/>
      <c r="I17" s="253"/>
      <c r="J17" s="253"/>
      <c r="K17" s="253">
        <f t="shared" si="5"/>
        <v>1000</v>
      </c>
      <c r="L17" s="254">
        <f t="shared" si="3"/>
        <v>1000</v>
      </c>
      <c r="M17" s="254">
        <f t="shared" si="6"/>
        <v>1000</v>
      </c>
      <c r="N17" s="255"/>
      <c r="O17" s="306">
        <v>57.52</v>
      </c>
      <c r="P17" s="306"/>
      <c r="Q17" s="306">
        <f>O17</f>
        <v>57.52</v>
      </c>
    </row>
    <row r="18" spans="1:18" s="248" customFormat="1" ht="27.6" x14ac:dyDescent="0.3">
      <c r="A18" s="249">
        <v>5</v>
      </c>
      <c r="B18" s="250" t="s">
        <v>375</v>
      </c>
      <c r="C18" s="251">
        <v>1000</v>
      </c>
      <c r="D18" s="251">
        <v>1000</v>
      </c>
      <c r="E18" s="251">
        <v>1000</v>
      </c>
      <c r="F18" s="246"/>
      <c r="G18" s="246"/>
      <c r="H18" s="253"/>
      <c r="I18" s="253"/>
      <c r="J18" s="253"/>
      <c r="K18" s="253">
        <f t="shared" si="5"/>
        <v>1000</v>
      </c>
      <c r="L18" s="254">
        <f t="shared" si="3"/>
        <v>1000</v>
      </c>
      <c r="M18" s="254">
        <f t="shared" si="6"/>
        <v>1000</v>
      </c>
      <c r="N18" s="255"/>
      <c r="O18" s="306">
        <v>50.017000000000003</v>
      </c>
      <c r="P18" s="306"/>
      <c r="Q18" s="306">
        <f>O18</f>
        <v>50.017000000000003</v>
      </c>
    </row>
    <row r="19" spans="1:18" s="248" customFormat="1" ht="27.6" x14ac:dyDescent="0.3">
      <c r="A19" s="249">
        <v>6</v>
      </c>
      <c r="B19" s="250" t="s">
        <v>374</v>
      </c>
      <c r="C19" s="251">
        <v>1000</v>
      </c>
      <c r="D19" s="251">
        <v>500</v>
      </c>
      <c r="E19" s="251">
        <v>500</v>
      </c>
      <c r="F19" s="251"/>
      <c r="G19" s="251"/>
      <c r="H19" s="253"/>
      <c r="I19" s="253"/>
      <c r="J19" s="253"/>
      <c r="K19" s="253">
        <f t="shared" si="5"/>
        <v>1000</v>
      </c>
      <c r="L19" s="254">
        <f t="shared" si="3"/>
        <v>500</v>
      </c>
      <c r="M19" s="254">
        <f t="shared" si="6"/>
        <v>500</v>
      </c>
      <c r="N19" s="255"/>
      <c r="O19" s="306"/>
      <c r="P19" s="306"/>
      <c r="Q19" s="306"/>
    </row>
    <row r="20" spans="1:18" s="248" customFormat="1" ht="27.6" x14ac:dyDescent="0.3">
      <c r="A20" s="249">
        <v>7</v>
      </c>
      <c r="B20" s="250" t="s">
        <v>339</v>
      </c>
      <c r="C20" s="251">
        <v>500</v>
      </c>
      <c r="D20" s="251">
        <v>500</v>
      </c>
      <c r="E20" s="251">
        <v>500</v>
      </c>
      <c r="F20" s="251"/>
      <c r="G20" s="251"/>
      <c r="H20" s="253"/>
      <c r="I20" s="253"/>
      <c r="J20" s="253"/>
      <c r="K20" s="253">
        <f t="shared" si="5"/>
        <v>500</v>
      </c>
      <c r="L20" s="254">
        <f t="shared" si="3"/>
        <v>500</v>
      </c>
      <c r="M20" s="254">
        <f t="shared" si="6"/>
        <v>500</v>
      </c>
      <c r="N20" s="255"/>
      <c r="O20" s="306"/>
      <c r="P20" s="306"/>
      <c r="Q20" s="306"/>
    </row>
    <row r="21" spans="1:18" s="248" customFormat="1" ht="27.6" x14ac:dyDescent="0.3">
      <c r="A21" s="249">
        <v>8</v>
      </c>
      <c r="B21" s="250" t="s">
        <v>340</v>
      </c>
      <c r="C21" s="251">
        <v>500</v>
      </c>
      <c r="D21" s="251">
        <v>500</v>
      </c>
      <c r="E21" s="251">
        <v>500</v>
      </c>
      <c r="F21" s="251"/>
      <c r="G21" s="251"/>
      <c r="H21" s="253"/>
      <c r="I21" s="253"/>
      <c r="J21" s="253"/>
      <c r="K21" s="253">
        <f t="shared" si="5"/>
        <v>500</v>
      </c>
      <c r="L21" s="254">
        <f t="shared" si="3"/>
        <v>500</v>
      </c>
      <c r="M21" s="254">
        <f t="shared" si="6"/>
        <v>500</v>
      </c>
      <c r="N21" s="255"/>
      <c r="O21" s="306"/>
      <c r="P21" s="306"/>
      <c r="Q21" s="306"/>
    </row>
    <row r="22" spans="1:18" s="243" customFormat="1" ht="41.4" x14ac:dyDescent="0.3">
      <c r="A22" s="249">
        <v>9</v>
      </c>
      <c r="B22" s="250" t="s">
        <v>341</v>
      </c>
      <c r="C22" s="251">
        <v>700</v>
      </c>
      <c r="D22" s="251">
        <v>700</v>
      </c>
      <c r="E22" s="251">
        <f>700</f>
        <v>700</v>
      </c>
      <c r="F22" s="246"/>
      <c r="G22" s="246"/>
      <c r="H22" s="253"/>
      <c r="I22" s="253"/>
      <c r="J22" s="253"/>
      <c r="K22" s="253">
        <f t="shared" si="5"/>
        <v>700</v>
      </c>
      <c r="L22" s="254">
        <f t="shared" si="3"/>
        <v>700</v>
      </c>
      <c r="M22" s="254">
        <f t="shared" si="6"/>
        <v>700</v>
      </c>
      <c r="N22" s="257"/>
      <c r="O22" s="307"/>
      <c r="P22" s="307"/>
      <c r="Q22" s="307"/>
      <c r="R22" s="248"/>
    </row>
    <row r="23" spans="1:18" s="248" customFormat="1" ht="27.6" x14ac:dyDescent="0.3">
      <c r="A23" s="249">
        <v>10</v>
      </c>
      <c r="B23" s="250" t="s">
        <v>342</v>
      </c>
      <c r="C23" s="251">
        <v>1000</v>
      </c>
      <c r="D23" s="251">
        <v>1000</v>
      </c>
      <c r="E23" s="251">
        <v>1000</v>
      </c>
      <c r="F23" s="251"/>
      <c r="G23" s="251"/>
      <c r="H23" s="253"/>
      <c r="I23" s="253"/>
      <c r="J23" s="253"/>
      <c r="K23" s="253">
        <f t="shared" si="5"/>
        <v>1000</v>
      </c>
      <c r="L23" s="254">
        <f t="shared" si="3"/>
        <v>1000</v>
      </c>
      <c r="M23" s="254">
        <f t="shared" si="6"/>
        <v>1000</v>
      </c>
      <c r="N23" s="255"/>
      <c r="O23" s="306">
        <v>53.427</v>
      </c>
      <c r="P23" s="306"/>
      <c r="Q23" s="306">
        <f>O23</f>
        <v>53.427</v>
      </c>
    </row>
    <row r="24" spans="1:18" s="248" customFormat="1" ht="27.6" x14ac:dyDescent="0.3">
      <c r="A24" s="249">
        <v>11</v>
      </c>
      <c r="B24" s="250" t="s">
        <v>343</v>
      </c>
      <c r="C24" s="251">
        <v>1500</v>
      </c>
      <c r="D24" s="251">
        <v>1000</v>
      </c>
      <c r="E24" s="258">
        <v>1000</v>
      </c>
      <c r="F24" s="258"/>
      <c r="G24" s="258"/>
      <c r="H24" s="253"/>
      <c r="I24" s="253"/>
      <c r="J24" s="253"/>
      <c r="K24" s="253">
        <f t="shared" si="5"/>
        <v>1500</v>
      </c>
      <c r="L24" s="254">
        <f t="shared" si="3"/>
        <v>1000</v>
      </c>
      <c r="M24" s="254">
        <f t="shared" si="6"/>
        <v>1000</v>
      </c>
      <c r="N24" s="255"/>
      <c r="O24" s="306"/>
      <c r="P24" s="306"/>
      <c r="Q24" s="306"/>
    </row>
    <row r="25" spans="1:18" s="248" customFormat="1" ht="27.6" x14ac:dyDescent="0.3">
      <c r="A25" s="249">
        <v>12</v>
      </c>
      <c r="B25" s="250" t="s">
        <v>344</v>
      </c>
      <c r="C25" s="251">
        <v>5800</v>
      </c>
      <c r="D25" s="251">
        <v>5800</v>
      </c>
      <c r="E25" s="258">
        <v>800</v>
      </c>
      <c r="F25" s="251">
        <v>5000</v>
      </c>
      <c r="G25" s="251"/>
      <c r="H25" s="259"/>
      <c r="I25" s="259"/>
      <c r="J25" s="253">
        <v>800</v>
      </c>
      <c r="K25" s="253">
        <f t="shared" si="5"/>
        <v>5800</v>
      </c>
      <c r="L25" s="254">
        <f t="shared" si="3"/>
        <v>5000</v>
      </c>
      <c r="M25" s="254"/>
      <c r="N25" s="254">
        <f>F25</f>
        <v>5000</v>
      </c>
      <c r="O25" s="306"/>
      <c r="P25" s="306"/>
      <c r="Q25" s="306"/>
    </row>
    <row r="26" spans="1:18" s="248" customFormat="1" ht="13.8" x14ac:dyDescent="0.3">
      <c r="A26" s="249">
        <v>13</v>
      </c>
      <c r="B26" s="250" t="s">
        <v>345</v>
      </c>
      <c r="C26" s="251">
        <v>1200</v>
      </c>
      <c r="D26" s="251">
        <v>700</v>
      </c>
      <c r="E26" s="251">
        <v>700</v>
      </c>
      <c r="F26" s="251"/>
      <c r="G26" s="251"/>
      <c r="H26" s="259"/>
      <c r="I26" s="259"/>
      <c r="J26" s="253"/>
      <c r="K26" s="253">
        <f t="shared" si="5"/>
        <v>1200</v>
      </c>
      <c r="L26" s="254">
        <f t="shared" si="3"/>
        <v>700</v>
      </c>
      <c r="M26" s="254">
        <f t="shared" si="6"/>
        <v>700</v>
      </c>
      <c r="N26" s="255"/>
      <c r="O26" s="306">
        <v>73.988</v>
      </c>
      <c r="P26" s="306">
        <f>O26</f>
        <v>73.988</v>
      </c>
      <c r="Q26" s="306"/>
    </row>
    <row r="27" spans="1:18" s="248" customFormat="1" ht="41.4" x14ac:dyDescent="0.3">
      <c r="A27" s="249">
        <v>14</v>
      </c>
      <c r="B27" s="250" t="s">
        <v>346</v>
      </c>
      <c r="C27" s="251"/>
      <c r="D27" s="251"/>
      <c r="E27" s="251"/>
      <c r="F27" s="251"/>
      <c r="G27" s="251">
        <v>4600</v>
      </c>
      <c r="H27" s="259">
        <v>2300</v>
      </c>
      <c r="I27" s="259"/>
      <c r="J27" s="253"/>
      <c r="K27" s="253">
        <f t="shared" si="5"/>
        <v>4600</v>
      </c>
      <c r="L27" s="254">
        <f t="shared" si="3"/>
        <v>2300</v>
      </c>
      <c r="M27" s="254"/>
      <c r="N27" s="254">
        <f>H27</f>
        <v>2300</v>
      </c>
      <c r="O27" s="306"/>
      <c r="P27" s="306"/>
      <c r="Q27" s="306"/>
    </row>
    <row r="28" spans="1:18" s="248" customFormat="1" ht="41.4" x14ac:dyDescent="0.3">
      <c r="A28" s="249">
        <v>15</v>
      </c>
      <c r="B28" s="250" t="s">
        <v>347</v>
      </c>
      <c r="C28" s="251"/>
      <c r="D28" s="251"/>
      <c r="E28" s="251"/>
      <c r="F28" s="251"/>
      <c r="G28" s="251">
        <v>4000</v>
      </c>
      <c r="H28" s="259">
        <v>2000</v>
      </c>
      <c r="I28" s="259"/>
      <c r="J28" s="253"/>
      <c r="K28" s="253">
        <f t="shared" si="5"/>
        <v>4000</v>
      </c>
      <c r="L28" s="254">
        <f t="shared" si="3"/>
        <v>2000</v>
      </c>
      <c r="M28" s="254"/>
      <c r="N28" s="254">
        <f>L28</f>
        <v>2000</v>
      </c>
      <c r="O28" s="306"/>
      <c r="P28" s="306"/>
      <c r="Q28" s="306"/>
    </row>
    <row r="29" spans="1:18" s="248" customFormat="1" ht="19.2" customHeight="1" x14ac:dyDescent="0.3">
      <c r="A29" s="260" t="s">
        <v>29</v>
      </c>
      <c r="B29" s="261" t="s">
        <v>348</v>
      </c>
      <c r="C29" s="262">
        <f>SUM(C30:C33)</f>
        <v>18124</v>
      </c>
      <c r="D29" s="262">
        <f>SUM(D30:D33)</f>
        <v>2519</v>
      </c>
      <c r="E29" s="262">
        <f>SUM(E30:E33)</f>
        <v>2519</v>
      </c>
      <c r="F29" s="262">
        <f t="shared" ref="F29:Q29" si="7">SUM(F30:F33)</f>
        <v>0</v>
      </c>
      <c r="G29" s="262">
        <f t="shared" si="7"/>
        <v>3776</v>
      </c>
      <c r="H29" s="262">
        <f t="shared" si="7"/>
        <v>0</v>
      </c>
      <c r="I29" s="262">
        <f t="shared" si="7"/>
        <v>0</v>
      </c>
      <c r="J29" s="262">
        <f t="shared" si="7"/>
        <v>2119</v>
      </c>
      <c r="K29" s="262">
        <f t="shared" si="7"/>
        <v>21900</v>
      </c>
      <c r="L29" s="262">
        <f t="shared" si="7"/>
        <v>400</v>
      </c>
      <c r="M29" s="262">
        <f t="shared" si="7"/>
        <v>400</v>
      </c>
      <c r="N29" s="262">
        <f t="shared" si="7"/>
        <v>0</v>
      </c>
      <c r="O29" s="262">
        <f t="shared" si="7"/>
        <v>0</v>
      </c>
      <c r="P29" s="309">
        <f t="shared" si="7"/>
        <v>0</v>
      </c>
      <c r="Q29" s="309">
        <f t="shared" si="7"/>
        <v>0</v>
      </c>
    </row>
    <row r="30" spans="1:18" s="271" customFormat="1" ht="27.6" x14ac:dyDescent="0.3">
      <c r="A30" s="139">
        <v>16</v>
      </c>
      <c r="B30" s="263" t="s">
        <v>349</v>
      </c>
      <c r="C30" s="264">
        <v>761</v>
      </c>
      <c r="D30" s="265">
        <v>200</v>
      </c>
      <c r="E30" s="266">
        <v>200</v>
      </c>
      <c r="F30" s="267"/>
      <c r="G30" s="268">
        <v>-761</v>
      </c>
      <c r="H30" s="269"/>
      <c r="I30" s="269"/>
      <c r="J30" s="258">
        <v>200</v>
      </c>
      <c r="K30" s="253">
        <f t="shared" si="5"/>
        <v>0</v>
      </c>
      <c r="L30" s="254">
        <f>E30+F30+H30-J30</f>
        <v>0</v>
      </c>
      <c r="M30" s="270"/>
      <c r="N30" s="270"/>
      <c r="O30" s="308"/>
      <c r="P30" s="308"/>
      <c r="Q30" s="308"/>
    </row>
    <row r="31" spans="1:18" s="277" customFormat="1" ht="27.6" x14ac:dyDescent="0.3">
      <c r="A31" s="139">
        <v>17</v>
      </c>
      <c r="B31" s="272" t="s">
        <v>350</v>
      </c>
      <c r="C31" s="258">
        <v>1863</v>
      </c>
      <c r="D31" s="273">
        <f>500-181</f>
        <v>319</v>
      </c>
      <c r="E31" s="274">
        <v>319</v>
      </c>
      <c r="F31" s="258"/>
      <c r="G31" s="275">
        <v>-1863</v>
      </c>
      <c r="H31" s="276"/>
      <c r="I31" s="276"/>
      <c r="J31" s="258">
        <v>319</v>
      </c>
      <c r="K31" s="253">
        <f t="shared" si="5"/>
        <v>0</v>
      </c>
      <c r="L31" s="254">
        <f>E31+F31+H31-J31</f>
        <v>0</v>
      </c>
      <c r="M31" s="272"/>
      <c r="N31" s="272"/>
      <c r="O31" s="273"/>
      <c r="P31" s="273"/>
      <c r="Q31" s="273"/>
    </row>
    <row r="32" spans="1:18" s="248" customFormat="1" ht="27.6" x14ac:dyDescent="0.3">
      <c r="A32" s="278">
        <v>18</v>
      </c>
      <c r="B32" s="279" t="s">
        <v>351</v>
      </c>
      <c r="C32" s="280">
        <f>4500+3000</f>
        <v>7500</v>
      </c>
      <c r="D32" s="281">
        <v>1000</v>
      </c>
      <c r="E32" s="258">
        <v>1000</v>
      </c>
      <c r="F32" s="251"/>
      <c r="G32" s="251">
        <v>6400</v>
      </c>
      <c r="H32" s="282"/>
      <c r="I32" s="282"/>
      <c r="J32" s="253">
        <v>800</v>
      </c>
      <c r="K32" s="253">
        <f t="shared" si="5"/>
        <v>13900</v>
      </c>
      <c r="L32" s="254">
        <f>E32+F32+H32-J32</f>
        <v>200</v>
      </c>
      <c r="M32" s="254">
        <f>L32</f>
        <v>200</v>
      </c>
      <c r="N32" s="255"/>
      <c r="O32" s="306"/>
      <c r="P32" s="306"/>
      <c r="Q32" s="306"/>
      <c r="R32" s="256"/>
    </row>
    <row r="33" spans="1:17" s="248" customFormat="1" ht="27.6" x14ac:dyDescent="0.3">
      <c r="A33" s="278">
        <v>19</v>
      </c>
      <c r="B33" s="279" t="s">
        <v>352</v>
      </c>
      <c r="C33" s="280">
        <f>5000+3000</f>
        <v>8000</v>
      </c>
      <c r="D33" s="251">
        <v>1000</v>
      </c>
      <c r="E33" s="258">
        <v>1000</v>
      </c>
      <c r="F33" s="251"/>
      <c r="G33" s="251"/>
      <c r="H33" s="282"/>
      <c r="I33" s="282"/>
      <c r="J33" s="253">
        <v>800</v>
      </c>
      <c r="K33" s="253">
        <f t="shared" si="5"/>
        <v>8000</v>
      </c>
      <c r="L33" s="254">
        <f>E33+F33+H33-J33</f>
        <v>200</v>
      </c>
      <c r="M33" s="254">
        <f>L33</f>
        <v>200</v>
      </c>
      <c r="N33" s="255"/>
      <c r="O33" s="306"/>
      <c r="P33" s="306"/>
      <c r="Q33" s="306"/>
    </row>
    <row r="34" spans="1:17" s="248" customFormat="1" ht="18" customHeight="1" x14ac:dyDescent="0.3">
      <c r="A34" s="260" t="s">
        <v>83</v>
      </c>
      <c r="B34" s="257" t="s">
        <v>353</v>
      </c>
      <c r="C34" s="246">
        <f>SUM(C35:C38)</f>
        <v>7950</v>
      </c>
      <c r="D34" s="246">
        <f>SUM(D35:D38)</f>
        <v>4850</v>
      </c>
      <c r="E34" s="246">
        <f t="shared" ref="E34:Q34" si="8">SUM(E35:E38)</f>
        <v>4850</v>
      </c>
      <c r="F34" s="246">
        <f t="shared" si="8"/>
        <v>0</v>
      </c>
      <c r="G34" s="246"/>
      <c r="H34" s="246">
        <f t="shared" si="8"/>
        <v>0</v>
      </c>
      <c r="I34" s="246"/>
      <c r="J34" s="246">
        <f t="shared" si="8"/>
        <v>0</v>
      </c>
      <c r="K34" s="246">
        <f t="shared" si="8"/>
        <v>7950</v>
      </c>
      <c r="L34" s="246">
        <f t="shared" si="8"/>
        <v>4850</v>
      </c>
      <c r="M34" s="246">
        <f t="shared" si="8"/>
        <v>4850</v>
      </c>
      <c r="N34" s="246">
        <f t="shared" si="8"/>
        <v>0</v>
      </c>
      <c r="O34" s="246">
        <f t="shared" si="8"/>
        <v>528.92000000000007</v>
      </c>
      <c r="P34" s="305">
        <f t="shared" si="8"/>
        <v>528.92000000000007</v>
      </c>
      <c r="Q34" s="310">
        <f t="shared" si="8"/>
        <v>0</v>
      </c>
    </row>
    <row r="35" spans="1:17" s="243" customFormat="1" ht="27.6" x14ac:dyDescent="0.3">
      <c r="A35" s="278">
        <v>20</v>
      </c>
      <c r="B35" s="283" t="s">
        <v>354</v>
      </c>
      <c r="C35" s="284">
        <v>1500</v>
      </c>
      <c r="D35" s="285">
        <v>1000</v>
      </c>
      <c r="E35" s="285">
        <v>1000</v>
      </c>
      <c r="F35" s="251"/>
      <c r="G35" s="251"/>
      <c r="H35" s="253"/>
      <c r="I35" s="253"/>
      <c r="J35" s="253"/>
      <c r="K35" s="253">
        <f t="shared" si="5"/>
        <v>1500</v>
      </c>
      <c r="L35" s="254">
        <f>E35+F35+H35-J35</f>
        <v>1000</v>
      </c>
      <c r="M35" s="254">
        <f>L35</f>
        <v>1000</v>
      </c>
      <c r="N35" s="257"/>
      <c r="O35" s="306">
        <v>95.634</v>
      </c>
      <c r="P35" s="306">
        <f>O35</f>
        <v>95.634</v>
      </c>
      <c r="Q35" s="307"/>
    </row>
    <row r="36" spans="1:17" s="248" customFormat="1" ht="27.6" x14ac:dyDescent="0.3">
      <c r="A36" s="278">
        <v>21</v>
      </c>
      <c r="B36" s="283" t="s">
        <v>355</v>
      </c>
      <c r="C36" s="284">
        <v>2600</v>
      </c>
      <c r="D36" s="285">
        <v>1500</v>
      </c>
      <c r="E36" s="285">
        <v>1500</v>
      </c>
      <c r="F36" s="251"/>
      <c r="G36" s="251"/>
      <c r="H36" s="253"/>
      <c r="I36" s="253"/>
      <c r="J36" s="253"/>
      <c r="K36" s="253">
        <f t="shared" si="5"/>
        <v>2600</v>
      </c>
      <c r="L36" s="254">
        <f>E36+F36+H36-J36</f>
        <v>1500</v>
      </c>
      <c r="M36" s="254">
        <f t="shared" ref="M36:M38" si="9">L36</f>
        <v>1500</v>
      </c>
      <c r="N36" s="255"/>
      <c r="O36" s="306">
        <v>140.226</v>
      </c>
      <c r="P36" s="306">
        <f>O36</f>
        <v>140.226</v>
      </c>
      <c r="Q36" s="306"/>
    </row>
    <row r="37" spans="1:17" s="248" customFormat="1" ht="27.6" x14ac:dyDescent="0.3">
      <c r="A37" s="278">
        <v>22</v>
      </c>
      <c r="B37" s="283" t="s">
        <v>356</v>
      </c>
      <c r="C37" s="251">
        <v>850</v>
      </c>
      <c r="D37" s="286">
        <v>850</v>
      </c>
      <c r="E37" s="286">
        <v>850</v>
      </c>
      <c r="F37" s="251"/>
      <c r="G37" s="251"/>
      <c r="H37" s="253"/>
      <c r="I37" s="253"/>
      <c r="J37" s="253"/>
      <c r="K37" s="253">
        <f t="shared" si="5"/>
        <v>850</v>
      </c>
      <c r="L37" s="254">
        <f>E37+F37+H37-J37</f>
        <v>850</v>
      </c>
      <c r="M37" s="254">
        <f t="shared" si="9"/>
        <v>850</v>
      </c>
      <c r="N37" s="255"/>
      <c r="O37" s="306"/>
      <c r="P37" s="306"/>
      <c r="Q37" s="306"/>
    </row>
    <row r="38" spans="1:17" s="248" customFormat="1" ht="27.6" x14ac:dyDescent="0.3">
      <c r="A38" s="278">
        <v>23</v>
      </c>
      <c r="B38" s="283" t="s">
        <v>373</v>
      </c>
      <c r="C38" s="251">
        <v>3000</v>
      </c>
      <c r="D38" s="286">
        <v>1500</v>
      </c>
      <c r="E38" s="286">
        <v>1500</v>
      </c>
      <c r="F38" s="251"/>
      <c r="G38" s="251"/>
      <c r="H38" s="253"/>
      <c r="I38" s="253"/>
      <c r="J38" s="253"/>
      <c r="K38" s="253">
        <f t="shared" si="5"/>
        <v>3000</v>
      </c>
      <c r="L38" s="254">
        <f>E38+F38+H38-J38</f>
        <v>1500</v>
      </c>
      <c r="M38" s="254">
        <f t="shared" si="9"/>
        <v>1500</v>
      </c>
      <c r="N38" s="255"/>
      <c r="O38" s="306">
        <v>293.06</v>
      </c>
      <c r="P38" s="306">
        <f>O38</f>
        <v>293.06</v>
      </c>
      <c r="Q38" s="306"/>
    </row>
    <row r="39" spans="1:17" s="243" customFormat="1" ht="13.8" x14ac:dyDescent="0.3">
      <c r="A39" s="260" t="s">
        <v>357</v>
      </c>
      <c r="B39" s="287" t="s">
        <v>358</v>
      </c>
      <c r="C39" s="246">
        <f t="shared" ref="C39:Q39" si="10">SUM(C40:C48)</f>
        <v>0</v>
      </c>
      <c r="D39" s="246">
        <f t="shared" si="10"/>
        <v>0</v>
      </c>
      <c r="E39" s="246">
        <f t="shared" si="10"/>
        <v>0</v>
      </c>
      <c r="F39" s="246">
        <f t="shared" si="10"/>
        <v>0</v>
      </c>
      <c r="G39" s="246">
        <f t="shared" si="10"/>
        <v>17510</v>
      </c>
      <c r="H39" s="246">
        <f t="shared" si="10"/>
        <v>0</v>
      </c>
      <c r="I39" s="246">
        <f t="shared" si="10"/>
        <v>4380</v>
      </c>
      <c r="J39" s="246">
        <f t="shared" si="10"/>
        <v>0</v>
      </c>
      <c r="K39" s="246">
        <f t="shared" si="10"/>
        <v>17510</v>
      </c>
      <c r="L39" s="246">
        <f t="shared" si="10"/>
        <v>4380</v>
      </c>
      <c r="M39" s="246">
        <f t="shared" si="10"/>
        <v>4380</v>
      </c>
      <c r="N39" s="246">
        <f t="shared" si="10"/>
        <v>0</v>
      </c>
      <c r="O39" s="246">
        <f t="shared" si="10"/>
        <v>0</v>
      </c>
      <c r="P39" s="310">
        <f t="shared" si="10"/>
        <v>0</v>
      </c>
      <c r="Q39" s="310">
        <f t="shared" si="10"/>
        <v>0</v>
      </c>
    </row>
    <row r="40" spans="1:17" s="248" customFormat="1" ht="41.4" x14ac:dyDescent="0.3">
      <c r="A40" s="278">
        <v>24</v>
      </c>
      <c r="B40" s="283" t="s">
        <v>359</v>
      </c>
      <c r="C40" s="251"/>
      <c r="D40" s="286"/>
      <c r="E40" s="286"/>
      <c r="F40" s="251"/>
      <c r="G40" s="251">
        <v>950</v>
      </c>
      <c r="H40" s="253"/>
      <c r="I40" s="253">
        <v>600</v>
      </c>
      <c r="J40" s="253"/>
      <c r="K40" s="253">
        <f t="shared" si="5"/>
        <v>950</v>
      </c>
      <c r="L40" s="254">
        <f>I40</f>
        <v>600</v>
      </c>
      <c r="M40" s="254">
        <f>L40</f>
        <v>600</v>
      </c>
      <c r="N40" s="255"/>
      <c r="O40" s="306"/>
      <c r="P40" s="306"/>
      <c r="Q40" s="306"/>
    </row>
    <row r="41" spans="1:17" s="248" customFormat="1" ht="27.6" x14ac:dyDescent="0.3">
      <c r="A41" s="278">
        <v>25</v>
      </c>
      <c r="B41" s="283" t="s">
        <v>360</v>
      </c>
      <c r="C41" s="251"/>
      <c r="D41" s="286"/>
      <c r="E41" s="286"/>
      <c r="F41" s="251"/>
      <c r="G41" s="251">
        <v>300</v>
      </c>
      <c r="H41" s="253"/>
      <c r="I41" s="253">
        <v>300</v>
      </c>
      <c r="J41" s="253"/>
      <c r="K41" s="253">
        <f t="shared" si="5"/>
        <v>300</v>
      </c>
      <c r="L41" s="254">
        <v>300</v>
      </c>
      <c r="M41" s="254">
        <f t="shared" ref="M41" si="11">L41</f>
        <v>300</v>
      </c>
      <c r="N41" s="255"/>
      <c r="O41" s="306"/>
      <c r="P41" s="306"/>
      <c r="Q41" s="306"/>
    </row>
    <row r="42" spans="1:17" s="248" customFormat="1" ht="55.2" x14ac:dyDescent="0.25">
      <c r="A42" s="278">
        <v>26</v>
      </c>
      <c r="B42" s="288" t="s">
        <v>361</v>
      </c>
      <c r="C42" s="251"/>
      <c r="D42" s="286"/>
      <c r="E42" s="286"/>
      <c r="F42" s="251"/>
      <c r="G42" s="251">
        <v>1840</v>
      </c>
      <c r="H42" s="253"/>
      <c r="I42" s="253">
        <v>500</v>
      </c>
      <c r="J42" s="253"/>
      <c r="K42" s="253">
        <f t="shared" si="5"/>
        <v>1840</v>
      </c>
      <c r="L42" s="254">
        <f t="shared" ref="L42:L48" si="12">I42</f>
        <v>500</v>
      </c>
      <c r="M42" s="254">
        <f t="shared" ref="M42:M48" si="13">I42</f>
        <v>500</v>
      </c>
      <c r="N42" s="255"/>
      <c r="O42" s="306"/>
      <c r="P42" s="306"/>
      <c r="Q42" s="306"/>
    </row>
    <row r="43" spans="1:17" s="248" customFormat="1" ht="41.4" x14ac:dyDescent="0.25">
      <c r="A43" s="278">
        <v>27</v>
      </c>
      <c r="B43" s="288" t="s">
        <v>362</v>
      </c>
      <c r="C43" s="251"/>
      <c r="D43" s="286"/>
      <c r="E43" s="286"/>
      <c r="F43" s="251"/>
      <c r="G43" s="251">
        <v>1720</v>
      </c>
      <c r="H43" s="253"/>
      <c r="I43" s="253">
        <v>840</v>
      </c>
      <c r="J43" s="253"/>
      <c r="K43" s="253">
        <f t="shared" si="5"/>
        <v>1720</v>
      </c>
      <c r="L43" s="254">
        <f t="shared" si="12"/>
        <v>840</v>
      </c>
      <c r="M43" s="254">
        <f t="shared" si="13"/>
        <v>840</v>
      </c>
      <c r="N43" s="255"/>
      <c r="O43" s="306"/>
      <c r="P43" s="306"/>
      <c r="Q43" s="306"/>
    </row>
    <row r="44" spans="1:17" s="248" customFormat="1" ht="27.6" x14ac:dyDescent="0.25">
      <c r="A44" s="278">
        <v>28</v>
      </c>
      <c r="B44" s="288" t="s">
        <v>363</v>
      </c>
      <c r="C44" s="251"/>
      <c r="D44" s="286"/>
      <c r="E44" s="286"/>
      <c r="F44" s="251"/>
      <c r="G44" s="251">
        <v>1850</v>
      </c>
      <c r="H44" s="253"/>
      <c r="I44" s="253">
        <v>500</v>
      </c>
      <c r="J44" s="253"/>
      <c r="K44" s="253">
        <f t="shared" si="5"/>
        <v>1850</v>
      </c>
      <c r="L44" s="254">
        <f t="shared" si="12"/>
        <v>500</v>
      </c>
      <c r="M44" s="254">
        <f t="shared" si="13"/>
        <v>500</v>
      </c>
      <c r="N44" s="255"/>
      <c r="O44" s="306"/>
      <c r="P44" s="306"/>
      <c r="Q44" s="306"/>
    </row>
    <row r="45" spans="1:17" s="248" customFormat="1" ht="41.4" x14ac:dyDescent="0.25">
      <c r="A45" s="278">
        <v>29</v>
      </c>
      <c r="B45" s="152" t="s">
        <v>364</v>
      </c>
      <c r="C45" s="251"/>
      <c r="D45" s="286"/>
      <c r="E45" s="286"/>
      <c r="F45" s="251"/>
      <c r="G45" s="251">
        <v>850</v>
      </c>
      <c r="H45" s="253"/>
      <c r="I45" s="253">
        <v>450</v>
      </c>
      <c r="J45" s="253"/>
      <c r="K45" s="253">
        <f t="shared" si="5"/>
        <v>850</v>
      </c>
      <c r="L45" s="254">
        <f t="shared" si="12"/>
        <v>450</v>
      </c>
      <c r="M45" s="254">
        <f t="shared" si="13"/>
        <v>450</v>
      </c>
      <c r="N45" s="255"/>
      <c r="O45" s="306"/>
      <c r="P45" s="306"/>
      <c r="Q45" s="306"/>
    </row>
    <row r="46" spans="1:17" s="248" customFormat="1" ht="41.4" x14ac:dyDescent="0.25">
      <c r="A46" s="278">
        <v>30</v>
      </c>
      <c r="B46" s="152" t="s">
        <v>365</v>
      </c>
      <c r="C46" s="251"/>
      <c r="D46" s="286"/>
      <c r="E46" s="286"/>
      <c r="F46" s="251"/>
      <c r="G46" s="251">
        <v>2000</v>
      </c>
      <c r="H46" s="253"/>
      <c r="I46" s="253">
        <v>940</v>
      </c>
      <c r="J46" s="253"/>
      <c r="K46" s="253">
        <f t="shared" si="5"/>
        <v>2000</v>
      </c>
      <c r="L46" s="254">
        <f t="shared" si="12"/>
        <v>940</v>
      </c>
      <c r="M46" s="254">
        <f t="shared" si="13"/>
        <v>940</v>
      </c>
      <c r="N46" s="255"/>
      <c r="O46" s="306"/>
      <c r="P46" s="306"/>
      <c r="Q46" s="306"/>
    </row>
    <row r="47" spans="1:17" s="248" customFormat="1" ht="27.6" x14ac:dyDescent="0.3">
      <c r="A47" s="278">
        <v>31</v>
      </c>
      <c r="B47" s="283" t="s">
        <v>366</v>
      </c>
      <c r="C47" s="251"/>
      <c r="D47" s="286"/>
      <c r="E47" s="286"/>
      <c r="F47" s="251"/>
      <c r="G47" s="251">
        <v>1000</v>
      </c>
      <c r="H47" s="253"/>
      <c r="I47" s="253">
        <v>100</v>
      </c>
      <c r="J47" s="253"/>
      <c r="K47" s="253">
        <f t="shared" si="5"/>
        <v>1000</v>
      </c>
      <c r="L47" s="254">
        <f t="shared" si="12"/>
        <v>100</v>
      </c>
      <c r="M47" s="289">
        <f t="shared" si="13"/>
        <v>100</v>
      </c>
      <c r="N47" s="255"/>
      <c r="O47" s="306"/>
      <c r="P47" s="306"/>
      <c r="Q47" s="306"/>
    </row>
    <row r="48" spans="1:17" s="248" customFormat="1" ht="27.6" x14ac:dyDescent="0.25">
      <c r="A48" s="278">
        <v>32</v>
      </c>
      <c r="B48" s="288" t="s">
        <v>367</v>
      </c>
      <c r="C48" s="251"/>
      <c r="D48" s="286"/>
      <c r="E48" s="286"/>
      <c r="F48" s="251"/>
      <c r="G48" s="251">
        <v>7000</v>
      </c>
      <c r="H48" s="253"/>
      <c r="I48" s="253">
        <v>150</v>
      </c>
      <c r="J48" s="253"/>
      <c r="K48" s="253">
        <f t="shared" si="5"/>
        <v>7000</v>
      </c>
      <c r="L48" s="254">
        <f t="shared" si="12"/>
        <v>150</v>
      </c>
      <c r="M48" s="254">
        <f t="shared" si="13"/>
        <v>150</v>
      </c>
      <c r="N48" s="255"/>
      <c r="O48" s="306"/>
      <c r="P48" s="306"/>
      <c r="Q48" s="306"/>
    </row>
    <row r="49" spans="1:17" ht="15.6" x14ac:dyDescent="0.3">
      <c r="B49" s="291"/>
      <c r="C49" s="292"/>
      <c r="D49" s="293"/>
      <c r="E49" s="293"/>
      <c r="F49" s="292"/>
      <c r="G49" s="292"/>
      <c r="H49" s="294"/>
      <c r="I49" s="294"/>
      <c r="J49" s="294"/>
      <c r="K49" s="294"/>
      <c r="L49" s="295"/>
    </row>
    <row r="50" spans="1:17" ht="13.8" customHeight="1" x14ac:dyDescent="0.3">
      <c r="B50" s="291"/>
      <c r="C50" s="292"/>
      <c r="D50" s="292"/>
      <c r="E50" s="293"/>
      <c r="F50" s="292"/>
      <c r="G50" s="292"/>
      <c r="I50" s="298" t="s">
        <v>368</v>
      </c>
      <c r="J50" s="298"/>
      <c r="K50" s="298"/>
      <c r="L50" s="298"/>
      <c r="M50" s="360" t="s">
        <v>368</v>
      </c>
      <c r="N50" s="360"/>
      <c r="O50" s="360"/>
      <c r="P50" s="360"/>
      <c r="Q50" s="360"/>
    </row>
    <row r="51" spans="1:17" ht="15.6" x14ac:dyDescent="0.3">
      <c r="B51" s="361"/>
      <c r="C51" s="361"/>
      <c r="D51" s="297"/>
      <c r="E51" s="298"/>
      <c r="F51" s="298"/>
      <c r="G51" s="298"/>
      <c r="H51" s="298"/>
      <c r="I51" s="298"/>
      <c r="J51" s="298"/>
      <c r="K51" s="298"/>
    </row>
    <row r="58" spans="1:17" ht="15.6" x14ac:dyDescent="0.3"/>
    <row r="59" spans="1:17" ht="15.6" x14ac:dyDescent="0.3"/>
    <row r="60" spans="1:17" ht="15.6" x14ac:dyDescent="0.3"/>
    <row r="61" spans="1:17" ht="15.6" x14ac:dyDescent="0.3"/>
    <row r="62" spans="1:17" ht="15.6" x14ac:dyDescent="0.3"/>
    <row r="63" spans="1:17" ht="15.6" x14ac:dyDescent="0.3"/>
    <row r="64" spans="1:17" ht="15.6" x14ac:dyDescent="0.3">
      <c r="A64" s="296"/>
    </row>
    <row r="65" spans="1:17" ht="15.6" x14ac:dyDescent="0.3">
      <c r="A65" s="296"/>
    </row>
    <row r="66" spans="1:17" ht="15.6" x14ac:dyDescent="0.3">
      <c r="A66" s="296"/>
    </row>
    <row r="67" spans="1:17" s="290" customFormat="1" ht="15.6" x14ac:dyDescent="0.3">
      <c r="B67" s="296"/>
      <c r="C67" s="238"/>
      <c r="D67" s="238"/>
      <c r="E67" s="296"/>
      <c r="F67" s="296"/>
      <c r="G67" s="296"/>
      <c r="O67" s="303"/>
      <c r="P67" s="302"/>
      <c r="Q67" s="302"/>
    </row>
    <row r="68" spans="1:17" s="290" customFormat="1" ht="15.6" x14ac:dyDescent="0.3">
      <c r="B68" s="296"/>
      <c r="C68" s="238"/>
      <c r="D68" s="238"/>
      <c r="E68" s="296"/>
      <c r="F68" s="296"/>
      <c r="G68" s="296"/>
      <c r="O68" s="303"/>
      <c r="P68" s="302"/>
      <c r="Q68" s="302"/>
    </row>
    <row r="69" spans="1:17" s="290" customFormat="1" ht="15.6" x14ac:dyDescent="0.3">
      <c r="B69" s="296"/>
      <c r="C69" s="238"/>
      <c r="D69" s="238"/>
      <c r="E69" s="296"/>
      <c r="F69" s="296"/>
      <c r="G69" s="296"/>
      <c r="O69" s="303"/>
      <c r="P69" s="302"/>
      <c r="Q69" s="302"/>
    </row>
    <row r="70" spans="1:17" s="290" customFormat="1" ht="15.6" x14ac:dyDescent="0.3">
      <c r="B70" s="296"/>
      <c r="C70" s="238"/>
      <c r="D70" s="238"/>
      <c r="E70" s="296"/>
      <c r="F70" s="296"/>
      <c r="G70" s="296"/>
      <c r="O70" s="303"/>
      <c r="P70" s="302"/>
      <c r="Q70" s="302"/>
    </row>
    <row r="71" spans="1:17" s="290" customFormat="1" ht="15.6" x14ac:dyDescent="0.3">
      <c r="B71" s="296"/>
      <c r="C71" s="238"/>
      <c r="D71" s="238"/>
      <c r="E71" s="296"/>
      <c r="F71" s="296"/>
      <c r="G71" s="296"/>
      <c r="O71" s="303"/>
      <c r="P71" s="302"/>
      <c r="Q71" s="302"/>
    </row>
    <row r="72" spans="1:17" s="290" customFormat="1" ht="15.6" x14ac:dyDescent="0.3">
      <c r="B72" s="296"/>
      <c r="C72" s="238"/>
      <c r="D72" s="238"/>
      <c r="E72" s="296"/>
      <c r="F72" s="296"/>
      <c r="G72" s="296"/>
      <c r="O72" s="303"/>
      <c r="P72" s="302"/>
      <c r="Q72" s="302"/>
    </row>
    <row r="73" spans="1:17" s="290" customFormat="1" ht="15.6" x14ac:dyDescent="0.3">
      <c r="B73" s="296"/>
      <c r="C73" s="238"/>
      <c r="D73" s="238"/>
      <c r="E73" s="296"/>
      <c r="F73" s="296"/>
      <c r="G73" s="296"/>
      <c r="O73" s="303"/>
      <c r="P73" s="302"/>
      <c r="Q73" s="302"/>
    </row>
    <row r="74" spans="1:17" s="290" customFormat="1" ht="15.6" x14ac:dyDescent="0.3">
      <c r="B74" s="296"/>
      <c r="C74" s="238"/>
      <c r="D74" s="238"/>
      <c r="E74" s="296"/>
      <c r="F74" s="296"/>
      <c r="G74" s="296"/>
      <c r="O74" s="303"/>
      <c r="P74" s="302"/>
      <c r="Q74" s="302"/>
    </row>
    <row r="75" spans="1:17" s="290" customFormat="1" ht="15.6" x14ac:dyDescent="0.3">
      <c r="B75" s="296"/>
      <c r="C75" s="238"/>
      <c r="D75" s="238"/>
      <c r="E75" s="296"/>
      <c r="F75" s="296"/>
      <c r="G75" s="296"/>
      <c r="O75" s="303"/>
      <c r="P75" s="302"/>
      <c r="Q75" s="302"/>
    </row>
    <row r="76" spans="1:17" s="290" customFormat="1" ht="15.6" x14ac:dyDescent="0.3">
      <c r="B76" s="296"/>
      <c r="C76" s="238"/>
      <c r="D76" s="238"/>
      <c r="E76" s="296"/>
      <c r="F76" s="296"/>
      <c r="G76" s="296"/>
      <c r="O76" s="303"/>
      <c r="P76" s="302"/>
      <c r="Q76" s="302"/>
    </row>
    <row r="77" spans="1:17" s="290" customFormat="1" ht="15.6" x14ac:dyDescent="0.3">
      <c r="B77" s="296"/>
      <c r="C77" s="238"/>
      <c r="D77" s="238"/>
      <c r="E77" s="296"/>
      <c r="F77" s="296"/>
      <c r="G77" s="296"/>
      <c r="O77" s="303"/>
      <c r="P77" s="302"/>
      <c r="Q77" s="302"/>
    </row>
    <row r="78" spans="1:17" s="290" customFormat="1" ht="15.6" x14ac:dyDescent="0.3">
      <c r="B78" s="296"/>
      <c r="C78" s="238"/>
      <c r="D78" s="238"/>
      <c r="E78" s="296"/>
      <c r="F78" s="296"/>
      <c r="G78" s="296"/>
      <c r="O78" s="303"/>
      <c r="P78" s="302"/>
      <c r="Q78" s="302"/>
    </row>
    <row r="79" spans="1:17" s="290" customFormat="1" ht="15.6" x14ac:dyDescent="0.3">
      <c r="B79" s="296"/>
      <c r="C79" s="238"/>
      <c r="D79" s="238"/>
      <c r="E79" s="296"/>
      <c r="F79" s="296"/>
      <c r="G79" s="296"/>
      <c r="O79" s="303"/>
      <c r="P79" s="302"/>
      <c r="Q79" s="302"/>
    </row>
    <row r="80" spans="1:17" s="290" customFormat="1" ht="15.6" x14ac:dyDescent="0.3">
      <c r="B80" s="296"/>
      <c r="C80" s="238"/>
      <c r="D80" s="238"/>
      <c r="E80" s="296"/>
      <c r="F80" s="296"/>
      <c r="G80" s="296"/>
      <c r="O80" s="303"/>
      <c r="P80" s="302"/>
      <c r="Q80" s="302"/>
    </row>
    <row r="81" spans="2:17" s="290" customFormat="1" ht="15.6" x14ac:dyDescent="0.3">
      <c r="B81" s="296"/>
      <c r="C81" s="238"/>
      <c r="D81" s="238"/>
      <c r="E81" s="296"/>
      <c r="F81" s="296"/>
      <c r="G81" s="296"/>
      <c r="O81" s="303"/>
      <c r="P81" s="302"/>
      <c r="Q81" s="302"/>
    </row>
    <row r="82" spans="2:17" s="290" customFormat="1" ht="15.6" x14ac:dyDescent="0.3">
      <c r="B82" s="296"/>
      <c r="C82" s="238"/>
      <c r="D82" s="238"/>
      <c r="E82" s="296"/>
      <c r="F82" s="296"/>
      <c r="G82" s="296"/>
      <c r="O82" s="303"/>
      <c r="P82" s="302"/>
      <c r="Q82" s="302"/>
    </row>
    <row r="83" spans="2:17" s="290" customFormat="1" ht="15.6" x14ac:dyDescent="0.3">
      <c r="B83" s="296"/>
      <c r="C83" s="238"/>
      <c r="D83" s="238"/>
      <c r="E83" s="296"/>
      <c r="F83" s="296"/>
      <c r="G83" s="296"/>
      <c r="O83" s="303"/>
      <c r="P83" s="302"/>
      <c r="Q83" s="302"/>
    </row>
    <row r="84" spans="2:17" s="290" customFormat="1" ht="15.6" x14ac:dyDescent="0.3">
      <c r="B84" s="296"/>
      <c r="C84" s="238"/>
      <c r="D84" s="238"/>
      <c r="E84" s="296"/>
      <c r="F84" s="296"/>
      <c r="G84" s="296"/>
      <c r="O84" s="303"/>
      <c r="P84" s="302"/>
      <c r="Q84" s="302"/>
    </row>
    <row r="85" spans="2:17" s="290" customFormat="1" ht="15.6" x14ac:dyDescent="0.3">
      <c r="B85" s="296"/>
      <c r="C85" s="238"/>
      <c r="D85" s="238"/>
      <c r="E85" s="296"/>
      <c r="F85" s="296"/>
      <c r="G85" s="296"/>
      <c r="O85" s="303"/>
      <c r="P85" s="302"/>
      <c r="Q85" s="302"/>
    </row>
    <row r="86" spans="2:17" s="290" customFormat="1" ht="15.6" x14ac:dyDescent="0.3">
      <c r="B86" s="296"/>
      <c r="C86" s="238"/>
      <c r="D86" s="238"/>
      <c r="E86" s="296"/>
      <c r="F86" s="296"/>
      <c r="G86" s="296"/>
      <c r="O86" s="303"/>
      <c r="P86" s="302"/>
      <c r="Q86" s="302"/>
    </row>
    <row r="87" spans="2:17" s="290" customFormat="1" ht="15.6" x14ac:dyDescent="0.3">
      <c r="B87" s="296"/>
      <c r="C87" s="238"/>
      <c r="D87" s="238"/>
      <c r="E87" s="296"/>
      <c r="F87" s="296"/>
      <c r="G87" s="296"/>
      <c r="O87" s="303"/>
      <c r="P87" s="302"/>
      <c r="Q87" s="302"/>
    </row>
    <row r="88" spans="2:17" s="290" customFormat="1" ht="15.6" x14ac:dyDescent="0.3">
      <c r="B88" s="296"/>
      <c r="C88" s="238"/>
      <c r="D88" s="238"/>
      <c r="E88" s="296"/>
      <c r="F88" s="296"/>
      <c r="G88" s="296"/>
      <c r="O88" s="303"/>
      <c r="P88" s="302"/>
      <c r="Q88" s="302"/>
    </row>
    <row r="89" spans="2:17" s="290" customFormat="1" ht="15.6" x14ac:dyDescent="0.3">
      <c r="B89" s="296"/>
      <c r="C89" s="238"/>
      <c r="D89" s="238"/>
      <c r="E89" s="296"/>
      <c r="F89" s="296"/>
      <c r="G89" s="296"/>
      <c r="O89" s="303"/>
      <c r="P89" s="302"/>
      <c r="Q89" s="302"/>
    </row>
    <row r="90" spans="2:17" s="290" customFormat="1" ht="15.6" x14ac:dyDescent="0.3">
      <c r="B90" s="296"/>
      <c r="C90" s="238"/>
      <c r="D90" s="238"/>
      <c r="E90" s="296"/>
      <c r="F90" s="296"/>
      <c r="G90" s="296"/>
      <c r="O90" s="303"/>
      <c r="P90" s="302"/>
      <c r="Q90" s="302"/>
    </row>
    <row r="91" spans="2:17" s="290" customFormat="1" ht="15.6" x14ac:dyDescent="0.3">
      <c r="B91" s="296"/>
      <c r="C91" s="238"/>
      <c r="D91" s="238"/>
      <c r="E91" s="296"/>
      <c r="F91" s="296"/>
      <c r="G91" s="296"/>
      <c r="O91" s="303"/>
      <c r="P91" s="302"/>
      <c r="Q91" s="302"/>
    </row>
    <row r="92" spans="2:17" s="290" customFormat="1" ht="15.6" x14ac:dyDescent="0.3">
      <c r="B92" s="296"/>
      <c r="C92" s="238"/>
      <c r="D92" s="238"/>
      <c r="E92" s="296"/>
      <c r="F92" s="296"/>
      <c r="G92" s="296"/>
      <c r="O92" s="303"/>
      <c r="P92" s="302"/>
      <c r="Q92" s="302"/>
    </row>
    <row r="93" spans="2:17" s="290" customFormat="1" ht="15.6" x14ac:dyDescent="0.3">
      <c r="B93" s="296"/>
      <c r="C93" s="238"/>
      <c r="D93" s="238"/>
      <c r="E93" s="296"/>
      <c r="F93" s="296"/>
      <c r="G93" s="296"/>
      <c r="O93" s="303"/>
      <c r="P93" s="302"/>
      <c r="Q93" s="302"/>
    </row>
    <row r="94" spans="2:17" s="290" customFormat="1" ht="15.6" x14ac:dyDescent="0.3">
      <c r="B94" s="296"/>
      <c r="C94" s="238"/>
      <c r="D94" s="238"/>
      <c r="E94" s="296"/>
      <c r="F94" s="296"/>
      <c r="G94" s="296"/>
      <c r="O94" s="303"/>
      <c r="P94" s="302"/>
      <c r="Q94" s="302"/>
    </row>
  </sheetData>
  <mergeCells count="32">
    <mergeCell ref="O7:Q7"/>
    <mergeCell ref="M50:Q50"/>
    <mergeCell ref="B51:C51"/>
    <mergeCell ref="A9:A11"/>
    <mergeCell ref="B9:B11"/>
    <mergeCell ref="O9:O11"/>
    <mergeCell ref="P9:Q9"/>
    <mergeCell ref="P10:P11"/>
    <mergeCell ref="Q10:Q11"/>
    <mergeCell ref="M9:N9"/>
    <mergeCell ref="E10:E11"/>
    <mergeCell ref="F10:F11"/>
    <mergeCell ref="H10:H11"/>
    <mergeCell ref="I10:I11"/>
    <mergeCell ref="M10:M11"/>
    <mergeCell ref="N10:N11"/>
    <mergeCell ref="L9:L11"/>
    <mergeCell ref="A6:L6"/>
    <mergeCell ref="E7:F7"/>
    <mergeCell ref="C9:C11"/>
    <mergeCell ref="D9:D11"/>
    <mergeCell ref="E9:F9"/>
    <mergeCell ref="G9:G11"/>
    <mergeCell ref="H9:I9"/>
    <mergeCell ref="J9:J11"/>
    <mergeCell ref="K9:K11"/>
    <mergeCell ref="A5:Q5"/>
    <mergeCell ref="A1:B1"/>
    <mergeCell ref="E1:F1"/>
    <mergeCell ref="J1:L1"/>
    <mergeCell ref="A2:B2"/>
    <mergeCell ref="A4:Q4"/>
  </mergeCells>
  <pageMargins left="0.2" right="0.2" top="0.5" bottom="0.2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3"/>
  <sheetViews>
    <sheetView workbookViewId="0">
      <selection activeCell="B15" sqref="B15"/>
    </sheetView>
  </sheetViews>
  <sheetFormatPr defaultRowHeight="14.4" x14ac:dyDescent="0.3"/>
  <cols>
    <col min="1" max="1" width="4.77734375" customWidth="1"/>
    <col min="2" max="2" width="70.77734375" customWidth="1"/>
  </cols>
  <sheetData>
    <row r="2" spans="2:3" ht="15.6" x14ac:dyDescent="0.3">
      <c r="B2" s="58" t="s">
        <v>181</v>
      </c>
      <c r="C2" s="57">
        <v>363</v>
      </c>
    </row>
    <row r="3" spans="2:3" ht="31.2" x14ac:dyDescent="0.3">
      <c r="B3" s="58" t="s">
        <v>187</v>
      </c>
      <c r="C3" s="59">
        <v>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95"/>
  <sheetViews>
    <sheetView workbookViewId="0">
      <selection activeCell="E2" sqref="E2:E9"/>
    </sheetView>
  </sheetViews>
  <sheetFormatPr defaultColWidth="11.6640625" defaultRowHeight="12" x14ac:dyDescent="0.25"/>
  <cols>
    <col min="1" max="1" width="13" style="47" customWidth="1"/>
    <col min="2" max="5" width="11.6640625" style="47"/>
    <col min="6" max="6" width="12.33203125" style="47" customWidth="1"/>
    <col min="7" max="7" width="11.6640625" style="47"/>
    <col min="8" max="8" width="12.5546875" style="47" customWidth="1"/>
    <col min="9" max="9" width="12.44140625" style="47" customWidth="1"/>
    <col min="10" max="10" width="12.5546875" style="47" customWidth="1"/>
    <col min="11" max="11" width="12.33203125" style="50" customWidth="1"/>
    <col min="12" max="12" width="13.33203125" style="54" customWidth="1"/>
    <col min="13" max="13" width="12.21875" style="50" customWidth="1"/>
    <col min="14" max="14" width="12.109375" style="54" bestFit="1" customWidth="1"/>
    <col min="15" max="15" width="12.5546875" style="47" customWidth="1"/>
    <col min="16" max="16" width="12.6640625" style="50" customWidth="1"/>
    <col min="17" max="17" width="8.88671875" style="50" customWidth="1"/>
    <col min="18" max="18" width="11.6640625" style="47"/>
    <col min="19" max="19" width="13.33203125" style="47" customWidth="1"/>
    <col min="20" max="20" width="7.88671875" style="47" customWidth="1"/>
    <col min="21" max="21" width="13.109375" style="47" bestFit="1" customWidth="1"/>
    <col min="22" max="16384" width="11.6640625" style="47"/>
  </cols>
  <sheetData>
    <row r="1" spans="1:21" s="45" customFormat="1" ht="11.4" x14ac:dyDescent="0.2">
      <c r="A1" s="45" t="s">
        <v>175</v>
      </c>
      <c r="B1" s="45" t="s">
        <v>176</v>
      </c>
      <c r="C1" s="45">
        <v>133</v>
      </c>
      <c r="D1" s="46">
        <v>161</v>
      </c>
      <c r="E1" s="46">
        <v>221</v>
      </c>
      <c r="F1" s="46">
        <v>261</v>
      </c>
      <c r="G1" s="46">
        <v>262</v>
      </c>
      <c r="H1" s="46">
        <v>281</v>
      </c>
      <c r="I1" s="46">
        <v>283</v>
      </c>
      <c r="J1" s="46">
        <v>292</v>
      </c>
      <c r="K1" s="49">
        <v>312</v>
      </c>
      <c r="L1" s="53">
        <v>341</v>
      </c>
      <c r="M1" s="49">
        <v>351</v>
      </c>
      <c r="N1" s="53">
        <v>361</v>
      </c>
      <c r="O1" s="45">
        <v>362</v>
      </c>
      <c r="P1" s="49">
        <v>371</v>
      </c>
      <c r="Q1" s="49"/>
      <c r="R1" s="45">
        <v>374</v>
      </c>
      <c r="S1" s="45">
        <v>398</v>
      </c>
    </row>
    <row r="2" spans="1:21" x14ac:dyDescent="0.25">
      <c r="A2" s="47">
        <v>64884000</v>
      </c>
      <c r="B2" s="47">
        <v>168480000</v>
      </c>
      <c r="C2" s="56">
        <v>995611602</v>
      </c>
      <c r="D2" s="47">
        <v>8170000</v>
      </c>
      <c r="E2" s="47">
        <v>7500000</v>
      </c>
      <c r="F2" s="47">
        <v>613902542</v>
      </c>
      <c r="G2" s="56">
        <v>20000000</v>
      </c>
      <c r="H2" s="47">
        <v>5063850</v>
      </c>
      <c r="I2" s="47">
        <v>647826881</v>
      </c>
      <c r="J2" s="47">
        <v>189000000</v>
      </c>
      <c r="K2" s="50">
        <v>791257366</v>
      </c>
      <c r="L2" s="54">
        <v>22230000</v>
      </c>
      <c r="M2" s="50">
        <v>4999400</v>
      </c>
      <c r="N2" s="54">
        <v>3159000</v>
      </c>
      <c r="O2" s="47">
        <v>1120000</v>
      </c>
      <c r="P2" s="50">
        <v>10000000</v>
      </c>
      <c r="Q2" s="50">
        <v>6751</v>
      </c>
      <c r="R2" s="47">
        <v>7581600</v>
      </c>
      <c r="S2" s="47">
        <v>28680000</v>
      </c>
      <c r="T2" s="47">
        <v>6149</v>
      </c>
      <c r="U2" s="47" t="s">
        <v>282</v>
      </c>
    </row>
    <row r="3" spans="1:21" x14ac:dyDescent="0.25">
      <c r="A3" s="47">
        <v>32523200</v>
      </c>
      <c r="B3" s="47">
        <v>1002375</v>
      </c>
      <c r="D3" s="47">
        <v>3650000</v>
      </c>
      <c r="E3" s="47">
        <v>7000000</v>
      </c>
      <c r="F3" s="47">
        <v>112349534</v>
      </c>
      <c r="H3" s="47">
        <v>70480000</v>
      </c>
      <c r="I3" s="47">
        <v>1568440</v>
      </c>
      <c r="J3" s="47">
        <v>632154100</v>
      </c>
      <c r="K3" s="50">
        <v>1897290000</v>
      </c>
      <c r="L3" s="54">
        <v>49636000</v>
      </c>
      <c r="M3" s="50">
        <v>12400000</v>
      </c>
      <c r="N3" s="54">
        <v>24041000</v>
      </c>
      <c r="O3" s="47">
        <v>15880000</v>
      </c>
      <c r="P3" s="50">
        <v>5500000</v>
      </c>
      <c r="Q3" s="50">
        <v>6757</v>
      </c>
      <c r="R3" s="47">
        <v>1842500</v>
      </c>
      <c r="S3" s="85">
        <v>147200000</v>
      </c>
      <c r="T3" s="85">
        <v>7257</v>
      </c>
      <c r="U3" s="85" t="s">
        <v>281</v>
      </c>
    </row>
    <row r="4" spans="1:21" x14ac:dyDescent="0.25">
      <c r="A4" s="47">
        <v>31993000</v>
      </c>
      <c r="B4" s="47">
        <v>495000</v>
      </c>
      <c r="D4" s="47">
        <v>44229400</v>
      </c>
      <c r="E4" s="47">
        <v>4700000</v>
      </c>
      <c r="F4" s="47">
        <v>35000000</v>
      </c>
      <c r="H4" s="47">
        <v>5000000</v>
      </c>
      <c r="I4" s="47">
        <v>47567000</v>
      </c>
      <c r="J4" s="47">
        <v>9000000</v>
      </c>
      <c r="K4" s="50">
        <v>48900000</v>
      </c>
      <c r="L4" s="54">
        <v>16146000</v>
      </c>
      <c r="M4" s="50">
        <v>59850000</v>
      </c>
      <c r="N4" s="55">
        <v>577919200</v>
      </c>
      <c r="O4" s="56">
        <v>2965000</v>
      </c>
      <c r="P4" s="50">
        <v>7000000</v>
      </c>
      <c r="Q4" s="50">
        <v>6799</v>
      </c>
      <c r="R4" s="47">
        <v>756000000</v>
      </c>
      <c r="S4" s="47">
        <v>240000000</v>
      </c>
      <c r="T4" s="47">
        <v>7454</v>
      </c>
      <c r="U4" s="47" t="s">
        <v>283</v>
      </c>
    </row>
    <row r="5" spans="1:21" x14ac:dyDescent="0.25">
      <c r="A5" s="47">
        <v>7000000</v>
      </c>
      <c r="B5" s="47">
        <v>4649995</v>
      </c>
      <c r="D5" s="84">
        <v>50000000</v>
      </c>
      <c r="E5" s="47">
        <v>1500000</v>
      </c>
      <c r="F5" s="47">
        <v>137133000</v>
      </c>
      <c r="H5" s="47">
        <v>40652400</v>
      </c>
      <c r="I5" s="47">
        <v>52760000</v>
      </c>
      <c r="J5" s="47">
        <v>282800000</v>
      </c>
      <c r="K5" s="50">
        <v>420800000</v>
      </c>
      <c r="L5" s="54">
        <v>14186500</v>
      </c>
      <c r="M5" s="52">
        <v>476187480</v>
      </c>
      <c r="N5" s="54">
        <v>30305000</v>
      </c>
      <c r="O5" s="47">
        <v>165000</v>
      </c>
      <c r="P5" s="50">
        <v>6648840</v>
      </c>
      <c r="Q5" s="50">
        <v>7001</v>
      </c>
      <c r="R5" s="47">
        <v>43200000</v>
      </c>
      <c r="S5" s="47">
        <v>4366800000</v>
      </c>
      <c r="T5" s="84">
        <v>7499</v>
      </c>
      <c r="U5" s="84" t="s">
        <v>280</v>
      </c>
    </row>
    <row r="6" spans="1:21" x14ac:dyDescent="0.25">
      <c r="A6" s="47">
        <v>9800000</v>
      </c>
      <c r="B6" s="47">
        <v>15070000</v>
      </c>
      <c r="D6" s="47">
        <v>16690000</v>
      </c>
      <c r="E6" s="47">
        <v>26900000</v>
      </c>
      <c r="F6" s="56">
        <v>469789391</v>
      </c>
      <c r="G6" s="3"/>
      <c r="H6" s="47">
        <v>66140000</v>
      </c>
      <c r="I6" s="47">
        <v>1980000</v>
      </c>
      <c r="K6" s="50">
        <v>58800000</v>
      </c>
      <c r="L6" s="54">
        <v>217406948</v>
      </c>
      <c r="M6" s="50">
        <v>30308000</v>
      </c>
      <c r="N6" s="54">
        <v>151460000</v>
      </c>
      <c r="O6" s="47">
        <v>5000000</v>
      </c>
      <c r="P6" s="50">
        <v>140400000</v>
      </c>
      <c r="Q6" s="50">
        <v>7152</v>
      </c>
      <c r="S6" s="47">
        <v>913430000</v>
      </c>
      <c r="T6" s="47">
        <v>7799</v>
      </c>
      <c r="U6" s="47" t="s">
        <v>284</v>
      </c>
    </row>
    <row r="7" spans="1:21" x14ac:dyDescent="0.25">
      <c r="A7" s="47">
        <v>33010000</v>
      </c>
      <c r="B7" s="47">
        <v>5188000</v>
      </c>
      <c r="D7" s="47">
        <v>5690000</v>
      </c>
      <c r="E7" s="47">
        <v>24085400</v>
      </c>
      <c r="H7" s="47">
        <v>41134000</v>
      </c>
      <c r="I7" s="47">
        <v>73995700</v>
      </c>
      <c r="K7" s="50">
        <v>1440345</v>
      </c>
      <c r="L7" s="54">
        <v>14004900</v>
      </c>
      <c r="M7" s="50">
        <v>124228000</v>
      </c>
      <c r="N7" s="54">
        <v>5500000</v>
      </c>
      <c r="O7" s="47">
        <v>5775000</v>
      </c>
      <c r="P7" s="50">
        <v>120000000</v>
      </c>
      <c r="Q7" s="50">
        <v>7161</v>
      </c>
      <c r="S7" s="88">
        <v>38000000</v>
      </c>
      <c r="T7" s="85">
        <v>7257</v>
      </c>
      <c r="U7" s="85" t="s">
        <v>281</v>
      </c>
    </row>
    <row r="8" spans="1:21" x14ac:dyDescent="0.25">
      <c r="A8" s="47">
        <v>4000000</v>
      </c>
      <c r="B8" s="47">
        <v>24900000</v>
      </c>
      <c r="D8" s="47">
        <v>540000</v>
      </c>
      <c r="E8" s="47">
        <v>84763262</v>
      </c>
      <c r="H8" s="47">
        <v>559106500</v>
      </c>
      <c r="I8" s="47">
        <v>45185000</v>
      </c>
      <c r="K8" s="52">
        <v>891441000</v>
      </c>
      <c r="L8" s="54">
        <v>11900000</v>
      </c>
      <c r="M8" s="50">
        <v>96690000</v>
      </c>
      <c r="N8" s="54">
        <v>66000000</v>
      </c>
      <c r="O8" s="47">
        <v>985000</v>
      </c>
      <c r="P8" s="50">
        <v>231000000</v>
      </c>
      <c r="Q8" s="50">
        <v>7162</v>
      </c>
      <c r="S8" s="86">
        <v>66594080</v>
      </c>
      <c r="T8" s="86">
        <v>7149</v>
      </c>
      <c r="U8" s="86" t="s">
        <v>285</v>
      </c>
    </row>
    <row r="9" spans="1:21" x14ac:dyDescent="0.25">
      <c r="A9" s="47">
        <v>7000000</v>
      </c>
      <c r="B9" s="47">
        <v>82000000</v>
      </c>
      <c r="D9" s="84">
        <v>34500000</v>
      </c>
      <c r="E9" s="47">
        <f>SUM(E2:E8)</f>
        <v>156448662</v>
      </c>
      <c r="H9" s="47">
        <v>16628000</v>
      </c>
      <c r="I9" s="47">
        <v>52420000</v>
      </c>
      <c r="K9" s="50">
        <v>865264000</v>
      </c>
      <c r="L9" s="54">
        <v>93509700</v>
      </c>
      <c r="M9" s="50">
        <v>12250000</v>
      </c>
      <c r="N9" s="54">
        <v>113775900</v>
      </c>
      <c r="O9" s="47">
        <v>89242000</v>
      </c>
      <c r="P9" s="50">
        <v>222080694</v>
      </c>
      <c r="Q9" s="50">
        <v>7199</v>
      </c>
      <c r="S9" s="47">
        <v>1762250000</v>
      </c>
      <c r="T9" s="84">
        <v>7499</v>
      </c>
      <c r="U9" s="84" t="s">
        <v>280</v>
      </c>
    </row>
    <row r="10" spans="1:21" x14ac:dyDescent="0.25">
      <c r="A10" s="47">
        <v>7315110</v>
      </c>
      <c r="D10" s="47">
        <v>718560</v>
      </c>
      <c r="H10" s="47">
        <v>332604000</v>
      </c>
      <c r="I10" s="47">
        <v>21520000</v>
      </c>
      <c r="K10" s="50">
        <v>428956661</v>
      </c>
      <c r="L10" s="54">
        <v>10000000</v>
      </c>
      <c r="M10" s="50">
        <v>26000000</v>
      </c>
      <c r="N10" s="54">
        <v>24224400</v>
      </c>
      <c r="O10" s="47">
        <v>392080000</v>
      </c>
      <c r="P10" s="50">
        <v>3369600</v>
      </c>
      <c r="Q10" s="50">
        <v>7251</v>
      </c>
      <c r="S10" s="47">
        <v>3075900000</v>
      </c>
      <c r="T10" s="84">
        <v>7499</v>
      </c>
      <c r="U10" s="84" t="s">
        <v>280</v>
      </c>
    </row>
    <row r="11" spans="1:21" x14ac:dyDescent="0.25">
      <c r="A11" s="47">
        <v>584256000</v>
      </c>
      <c r="D11" s="47">
        <v>37500000</v>
      </c>
      <c r="H11" s="47">
        <v>112500000</v>
      </c>
      <c r="I11" s="47">
        <v>83363000</v>
      </c>
      <c r="L11" s="54">
        <v>45863000</v>
      </c>
      <c r="M11" s="50">
        <v>99200000</v>
      </c>
      <c r="N11" s="54">
        <v>11636000</v>
      </c>
      <c r="O11" s="47">
        <v>4200000</v>
      </c>
      <c r="P11" s="85">
        <v>163800000</v>
      </c>
      <c r="Q11" s="85">
        <v>7257</v>
      </c>
      <c r="S11" s="47">
        <v>532000000</v>
      </c>
      <c r="T11" s="84">
        <v>7499</v>
      </c>
      <c r="U11" s="84" t="s">
        <v>280</v>
      </c>
    </row>
    <row r="12" spans="1:21" x14ac:dyDescent="0.25">
      <c r="A12" s="47">
        <v>36000000</v>
      </c>
      <c r="D12" s="47">
        <v>145900000</v>
      </c>
      <c r="H12" s="47">
        <v>10000000</v>
      </c>
      <c r="I12" s="47">
        <v>86303000</v>
      </c>
      <c r="L12" s="54">
        <v>4000000</v>
      </c>
      <c r="M12" s="50">
        <v>14517000</v>
      </c>
      <c r="N12" s="54">
        <v>412909700</v>
      </c>
      <c r="O12" s="47">
        <v>16730000</v>
      </c>
      <c r="P12" s="50">
        <v>379400000</v>
      </c>
      <c r="Q12" s="50">
        <v>7799</v>
      </c>
    </row>
    <row r="13" spans="1:21" x14ac:dyDescent="0.25">
      <c r="A13" s="56">
        <v>77512800</v>
      </c>
      <c r="D13" s="84">
        <v>15500000</v>
      </c>
      <c r="H13" s="47">
        <v>31199000</v>
      </c>
      <c r="L13" s="54">
        <v>39200000</v>
      </c>
      <c r="M13" s="50">
        <v>8707000</v>
      </c>
      <c r="N13" s="54">
        <v>1477008000</v>
      </c>
      <c r="O13" s="47">
        <v>21489870</v>
      </c>
      <c r="P13" s="50">
        <v>46800000</v>
      </c>
      <c r="Q13" s="50">
        <v>7152</v>
      </c>
    </row>
    <row r="14" spans="1:21" x14ac:dyDescent="0.25">
      <c r="A14" s="47">
        <v>23703192</v>
      </c>
      <c r="D14" s="56">
        <v>3600000</v>
      </c>
      <c r="H14" s="47">
        <v>36000000</v>
      </c>
      <c r="L14" s="54">
        <v>533136000</v>
      </c>
      <c r="M14" s="50">
        <v>101088000</v>
      </c>
      <c r="N14" s="54">
        <v>8772000</v>
      </c>
      <c r="O14" s="47">
        <v>68300000</v>
      </c>
      <c r="P14" s="50">
        <v>317600000</v>
      </c>
      <c r="Q14" s="50">
        <v>7199</v>
      </c>
    </row>
    <row r="15" spans="1:21" x14ac:dyDescent="0.25">
      <c r="A15" s="47">
        <v>17137224</v>
      </c>
      <c r="H15" s="56">
        <v>49000000</v>
      </c>
      <c r="L15" s="54">
        <v>36470000</v>
      </c>
      <c r="M15" s="50">
        <v>2655900000</v>
      </c>
      <c r="N15" s="54">
        <v>1595000</v>
      </c>
      <c r="O15" s="47">
        <v>19000000</v>
      </c>
    </row>
    <row r="16" spans="1:21" x14ac:dyDescent="0.25">
      <c r="A16" s="47">
        <v>2000000</v>
      </c>
      <c r="H16" s="47">
        <v>3500000</v>
      </c>
      <c r="L16" s="54">
        <v>100000</v>
      </c>
      <c r="M16" s="50">
        <v>25600000</v>
      </c>
      <c r="N16" s="54">
        <v>1980000</v>
      </c>
      <c r="O16" s="47">
        <v>795015000</v>
      </c>
    </row>
    <row r="17" spans="1:16" x14ac:dyDescent="0.25">
      <c r="A17" s="47">
        <v>7000000</v>
      </c>
      <c r="H17" s="47">
        <v>1500000</v>
      </c>
      <c r="L17" s="54">
        <v>259505295</v>
      </c>
      <c r="M17" s="50">
        <v>3600000</v>
      </c>
      <c r="N17" s="54">
        <v>29200000</v>
      </c>
      <c r="P17" s="87">
        <f>P11/23400000</f>
        <v>7</v>
      </c>
    </row>
    <row r="18" spans="1:16" x14ac:dyDescent="0.25">
      <c r="A18" s="47">
        <v>2050000</v>
      </c>
      <c r="H18" s="47">
        <v>8900000</v>
      </c>
      <c r="L18" s="54">
        <v>16000000</v>
      </c>
      <c r="M18" s="50">
        <v>25976000</v>
      </c>
      <c r="N18" s="54">
        <v>77965000</v>
      </c>
    </row>
    <row r="19" spans="1:16" x14ac:dyDescent="0.25">
      <c r="A19" s="47">
        <v>327150000</v>
      </c>
      <c r="H19" s="47">
        <v>8180000</v>
      </c>
      <c r="L19" s="54">
        <v>26400000</v>
      </c>
      <c r="M19" s="50">
        <v>12464100</v>
      </c>
      <c r="N19" s="54">
        <v>28800000</v>
      </c>
    </row>
    <row r="20" spans="1:16" x14ac:dyDescent="0.25">
      <c r="A20" s="47">
        <v>631800</v>
      </c>
      <c r="H20" s="47">
        <v>46900000</v>
      </c>
      <c r="L20" s="54">
        <v>13000000</v>
      </c>
      <c r="M20" s="50">
        <v>35700000</v>
      </c>
      <c r="N20" s="54">
        <v>13500000</v>
      </c>
    </row>
    <row r="21" spans="1:16" x14ac:dyDescent="0.25">
      <c r="H21" s="47">
        <v>4100000</v>
      </c>
      <c r="L21" s="54">
        <v>999123000</v>
      </c>
      <c r="M21" s="50">
        <v>136890000</v>
      </c>
      <c r="N21" s="54">
        <v>67003000</v>
      </c>
    </row>
    <row r="22" spans="1:16" x14ac:dyDescent="0.25">
      <c r="H22" s="47">
        <v>2100000</v>
      </c>
      <c r="L22" s="54">
        <v>10000000</v>
      </c>
      <c r="M22" s="50">
        <v>146786480</v>
      </c>
      <c r="N22" s="54">
        <v>21000000</v>
      </c>
    </row>
    <row r="23" spans="1:16" x14ac:dyDescent="0.25">
      <c r="H23" s="47">
        <v>311000000</v>
      </c>
      <c r="L23" s="54">
        <v>70000000</v>
      </c>
      <c r="M23" s="50">
        <v>35708000</v>
      </c>
      <c r="N23" s="54">
        <v>2713371000</v>
      </c>
    </row>
    <row r="24" spans="1:16" x14ac:dyDescent="0.25">
      <c r="H24" s="47">
        <v>18700000</v>
      </c>
      <c r="L24" s="55">
        <v>4317820294</v>
      </c>
    </row>
    <row r="25" spans="1:16" x14ac:dyDescent="0.25">
      <c r="H25" s="47">
        <v>820000</v>
      </c>
      <c r="L25" s="54">
        <v>66834963</v>
      </c>
    </row>
    <row r="26" spans="1:16" x14ac:dyDescent="0.25">
      <c r="H26" s="47">
        <v>3300000</v>
      </c>
      <c r="L26" s="54">
        <v>80479675</v>
      </c>
    </row>
    <row r="27" spans="1:16" x14ac:dyDescent="0.25">
      <c r="H27" s="47">
        <v>97000000</v>
      </c>
      <c r="L27" s="54">
        <v>79748500</v>
      </c>
    </row>
    <row r="28" spans="1:16" x14ac:dyDescent="0.25">
      <c r="H28" s="47">
        <v>18100000</v>
      </c>
      <c r="L28" s="54">
        <v>2808000</v>
      </c>
    </row>
    <row r="29" spans="1:16" x14ac:dyDescent="0.25">
      <c r="H29" s="47">
        <v>1330000</v>
      </c>
      <c r="L29" s="54">
        <v>652860000</v>
      </c>
    </row>
    <row r="30" spans="1:16" x14ac:dyDescent="0.25">
      <c r="H30" s="47">
        <v>570000</v>
      </c>
      <c r="L30" s="54">
        <v>8424000</v>
      </c>
    </row>
    <row r="31" spans="1:16" x14ac:dyDescent="0.25">
      <c r="L31" s="54">
        <v>6622200</v>
      </c>
    </row>
    <row r="32" spans="1:16" x14ac:dyDescent="0.25">
      <c r="L32" s="54">
        <v>1404000</v>
      </c>
    </row>
    <row r="33" spans="12:12" x14ac:dyDescent="0.25">
      <c r="L33" s="54">
        <v>17437680</v>
      </c>
    </row>
    <row r="34" spans="12:12" x14ac:dyDescent="0.25">
      <c r="L34" s="54">
        <v>1087610350</v>
      </c>
    </row>
    <row r="35" spans="12:12" x14ac:dyDescent="0.25">
      <c r="L35" s="54">
        <v>196804000</v>
      </c>
    </row>
    <row r="36" spans="12:12" x14ac:dyDescent="0.25">
      <c r="L36" s="54">
        <v>87832000</v>
      </c>
    </row>
    <row r="37" spans="12:12" x14ac:dyDescent="0.25">
      <c r="L37" s="54">
        <v>365043457</v>
      </c>
    </row>
    <row r="38" spans="12:12" x14ac:dyDescent="0.25">
      <c r="L38" s="54">
        <v>801723342</v>
      </c>
    </row>
    <row r="39" spans="12:12" x14ac:dyDescent="0.25">
      <c r="L39" s="54">
        <v>152955126</v>
      </c>
    </row>
    <row r="40" spans="12:12" x14ac:dyDescent="0.25">
      <c r="L40" s="54">
        <v>34843000</v>
      </c>
    </row>
    <row r="41" spans="12:12" x14ac:dyDescent="0.25">
      <c r="L41" s="54">
        <v>1261260</v>
      </c>
    </row>
    <row r="42" spans="12:12" x14ac:dyDescent="0.25">
      <c r="L42" s="54">
        <v>216488300</v>
      </c>
    </row>
    <row r="43" spans="12:12" x14ac:dyDescent="0.25">
      <c r="L43" s="54">
        <v>3574566000</v>
      </c>
    </row>
    <row r="44" spans="12:12" x14ac:dyDescent="0.25">
      <c r="L44" s="54">
        <v>20000000</v>
      </c>
    </row>
    <row r="45" spans="12:12" x14ac:dyDescent="0.25">
      <c r="L45" s="54">
        <v>329660778</v>
      </c>
    </row>
    <row r="46" spans="12:12" x14ac:dyDescent="0.25">
      <c r="L46" s="54">
        <v>33519032</v>
      </c>
    </row>
    <row r="47" spans="12:12" x14ac:dyDescent="0.25">
      <c r="L47" s="54">
        <v>192847780</v>
      </c>
    </row>
    <row r="48" spans="12:12" x14ac:dyDescent="0.25">
      <c r="L48" s="54">
        <v>107285264</v>
      </c>
    </row>
    <row r="49" spans="12:12" x14ac:dyDescent="0.25">
      <c r="L49" s="54">
        <v>123692736</v>
      </c>
    </row>
    <row r="50" spans="12:12" x14ac:dyDescent="0.25">
      <c r="L50" s="54">
        <v>112292</v>
      </c>
    </row>
    <row r="51" spans="12:12" x14ac:dyDescent="0.25">
      <c r="L51" s="54">
        <v>1155775</v>
      </c>
    </row>
    <row r="52" spans="12:12" x14ac:dyDescent="0.25">
      <c r="L52" s="54">
        <v>53746233</v>
      </c>
    </row>
    <row r="53" spans="12:12" x14ac:dyDescent="0.25">
      <c r="L53" s="54">
        <v>40641844</v>
      </c>
    </row>
    <row r="54" spans="12:12" x14ac:dyDescent="0.25">
      <c r="L54" s="54">
        <v>48412494</v>
      </c>
    </row>
    <row r="55" spans="12:12" x14ac:dyDescent="0.25">
      <c r="L55" s="54">
        <v>7400000</v>
      </c>
    </row>
    <row r="56" spans="12:12" x14ac:dyDescent="0.25">
      <c r="L56" s="54">
        <v>464999292</v>
      </c>
    </row>
    <row r="57" spans="12:12" x14ac:dyDescent="0.25">
      <c r="L57" s="54">
        <v>1900000</v>
      </c>
    </row>
    <row r="58" spans="12:12" x14ac:dyDescent="0.25">
      <c r="L58" s="54">
        <v>10800000</v>
      </c>
    </row>
    <row r="59" spans="12:12" x14ac:dyDescent="0.25">
      <c r="L59" s="54">
        <v>11500000</v>
      </c>
    </row>
    <row r="60" spans="12:12" x14ac:dyDescent="0.25">
      <c r="L60" s="54">
        <v>285400000</v>
      </c>
    </row>
    <row r="61" spans="12:12" x14ac:dyDescent="0.25">
      <c r="L61" s="54">
        <v>7000000</v>
      </c>
    </row>
    <row r="62" spans="12:12" x14ac:dyDescent="0.25">
      <c r="L62" s="54">
        <v>336032500</v>
      </c>
    </row>
    <row r="63" spans="12:12" x14ac:dyDescent="0.25">
      <c r="L63" s="54">
        <v>566000000</v>
      </c>
    </row>
    <row r="64" spans="12:12" x14ac:dyDescent="0.25">
      <c r="L64" s="54">
        <v>24066040</v>
      </c>
    </row>
    <row r="65" spans="12:12" x14ac:dyDescent="0.25">
      <c r="L65" s="54">
        <v>64302200</v>
      </c>
    </row>
    <row r="66" spans="12:12" x14ac:dyDescent="0.25">
      <c r="L66" s="54">
        <v>54055000</v>
      </c>
    </row>
    <row r="67" spans="12:12" x14ac:dyDescent="0.25">
      <c r="L67" s="54">
        <v>11107500</v>
      </c>
    </row>
    <row r="68" spans="12:12" x14ac:dyDescent="0.25">
      <c r="L68" s="54">
        <v>14600000</v>
      </c>
    </row>
    <row r="69" spans="12:12" x14ac:dyDescent="0.25">
      <c r="L69" s="54">
        <v>13960000</v>
      </c>
    </row>
    <row r="70" spans="12:12" x14ac:dyDescent="0.25">
      <c r="L70" s="54">
        <v>32990000</v>
      </c>
    </row>
    <row r="71" spans="12:12" x14ac:dyDescent="0.25">
      <c r="L71" s="54">
        <v>61150000</v>
      </c>
    </row>
    <row r="72" spans="12:12" x14ac:dyDescent="0.25">
      <c r="L72" s="54">
        <v>239168942</v>
      </c>
    </row>
    <row r="73" spans="12:12" x14ac:dyDescent="0.25">
      <c r="L73" s="54">
        <v>126000000</v>
      </c>
    </row>
    <row r="74" spans="12:12" x14ac:dyDescent="0.25">
      <c r="L74" s="54">
        <v>443306368</v>
      </c>
    </row>
    <row r="75" spans="12:12" x14ac:dyDescent="0.25">
      <c r="L75" s="54">
        <v>34835000</v>
      </c>
    </row>
    <row r="76" spans="12:12" x14ac:dyDescent="0.25">
      <c r="L76" s="54">
        <v>117500000</v>
      </c>
    </row>
    <row r="77" spans="12:12" x14ac:dyDescent="0.25">
      <c r="L77" s="54">
        <v>168836160</v>
      </c>
    </row>
    <row r="78" spans="12:12" x14ac:dyDescent="0.25">
      <c r="L78" s="54">
        <v>1651263220</v>
      </c>
    </row>
    <row r="79" spans="12:12" x14ac:dyDescent="0.25">
      <c r="L79" s="54">
        <v>110550000</v>
      </c>
    </row>
    <row r="80" spans="12:12" x14ac:dyDescent="0.25">
      <c r="L80" s="54">
        <v>24347520</v>
      </c>
    </row>
    <row r="81" spans="1:21" x14ac:dyDescent="0.25">
      <c r="L81" s="54">
        <v>49260960</v>
      </c>
    </row>
    <row r="82" spans="1:21" x14ac:dyDescent="0.25">
      <c r="L82" s="54">
        <v>18144000</v>
      </c>
    </row>
    <row r="83" spans="1:21" x14ac:dyDescent="0.25">
      <c r="L83" s="54">
        <v>32670000</v>
      </c>
    </row>
    <row r="84" spans="1:21" x14ac:dyDescent="0.25">
      <c r="L84" s="54">
        <v>233880000</v>
      </c>
    </row>
    <row r="85" spans="1:21" x14ac:dyDescent="0.25">
      <c r="L85" s="54">
        <v>3200000</v>
      </c>
    </row>
    <row r="86" spans="1:21" x14ac:dyDescent="0.25">
      <c r="L86" s="54">
        <v>101263600</v>
      </c>
    </row>
    <row r="87" spans="1:21" x14ac:dyDescent="0.25">
      <c r="L87" s="54">
        <v>1038211500</v>
      </c>
    </row>
    <row r="88" spans="1:21" x14ac:dyDescent="0.25">
      <c r="L88" s="54">
        <v>436822841</v>
      </c>
    </row>
    <row r="89" spans="1:21" x14ac:dyDescent="0.25">
      <c r="L89" s="54">
        <v>16282478326</v>
      </c>
    </row>
    <row r="91" spans="1:21" s="48" customFormat="1" ht="11.4" x14ac:dyDescent="0.2">
      <c r="A91" s="48">
        <f t="shared" ref="A91:P91" si="0">SUM(A2:A90)</f>
        <v>1274966326</v>
      </c>
      <c r="B91" s="48">
        <f t="shared" si="0"/>
        <v>301785370</v>
      </c>
      <c r="C91" s="48">
        <f t="shared" si="0"/>
        <v>995611602</v>
      </c>
      <c r="D91" s="48">
        <f t="shared" si="0"/>
        <v>366687960</v>
      </c>
      <c r="E91" s="48">
        <f t="shared" si="0"/>
        <v>312897324</v>
      </c>
      <c r="F91" s="48">
        <f t="shared" si="0"/>
        <v>1368174467</v>
      </c>
      <c r="G91" s="48">
        <f t="shared" si="0"/>
        <v>20000000</v>
      </c>
      <c r="H91" s="48">
        <f t="shared" si="0"/>
        <v>1901507750</v>
      </c>
      <c r="I91" s="48">
        <f t="shared" si="0"/>
        <v>1114489021</v>
      </c>
      <c r="J91" s="48">
        <f t="shared" si="0"/>
        <v>1112954100</v>
      </c>
      <c r="K91" s="48">
        <f t="shared" si="0"/>
        <v>5404149372</v>
      </c>
      <c r="L91" s="48">
        <f t="shared" si="0"/>
        <v>38285458687</v>
      </c>
      <c r="M91" s="48">
        <f t="shared" si="0"/>
        <v>4145049460</v>
      </c>
      <c r="N91" s="48">
        <f t="shared" si="0"/>
        <v>5861124200</v>
      </c>
      <c r="O91" s="48">
        <f t="shared" si="0"/>
        <v>1437946870</v>
      </c>
      <c r="P91" s="51">
        <f t="shared" si="0"/>
        <v>1653599141</v>
      </c>
      <c r="Q91" s="51"/>
      <c r="R91" s="48">
        <f>SUM(R2:R90)</f>
        <v>808624100</v>
      </c>
      <c r="S91" s="48">
        <f>SUM(S2:S90)</f>
        <v>11170854080</v>
      </c>
      <c r="T91" s="48">
        <f>SUM(T2:T90)</f>
        <v>73061</v>
      </c>
      <c r="U91" s="48">
        <f>SUM(A91:S91)</f>
        <v>77535879830</v>
      </c>
    </row>
    <row r="93" spans="1:21" x14ac:dyDescent="0.25">
      <c r="F93" s="367">
        <f>F91+G91</f>
        <v>1388174467</v>
      </c>
      <c r="G93" s="367"/>
      <c r="H93" s="367">
        <f>H91+I91+J91</f>
        <v>4128950871</v>
      </c>
      <c r="I93" s="367"/>
      <c r="J93" s="367"/>
      <c r="U93" s="47">
        <v>77379431161</v>
      </c>
    </row>
    <row r="95" spans="1:21" x14ac:dyDescent="0.25">
      <c r="U95" s="47">
        <f>U91-U93</f>
        <v>156448669</v>
      </c>
    </row>
  </sheetData>
  <mergeCells count="2">
    <mergeCell ref="F93:G93"/>
    <mergeCell ref="H93:J9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25"/>
  <sheetViews>
    <sheetView workbookViewId="0">
      <selection activeCell="E15" sqref="E15"/>
    </sheetView>
  </sheetViews>
  <sheetFormatPr defaultColWidth="14.88671875" defaultRowHeight="13.8" x14ac:dyDescent="0.25"/>
  <cols>
    <col min="1" max="1" width="12.77734375" style="60" customWidth="1"/>
    <col min="2" max="4" width="14.88671875" style="61"/>
    <col min="5" max="5" width="16.77734375" style="61" customWidth="1"/>
    <col min="6" max="8" width="14.88671875" style="61"/>
    <col min="9" max="16384" width="14.88671875" style="60"/>
  </cols>
  <sheetData>
    <row r="2" spans="1:8" x14ac:dyDescent="0.25">
      <c r="A2" s="60" t="s">
        <v>188</v>
      </c>
    </row>
    <row r="3" spans="1:8" x14ac:dyDescent="0.25">
      <c r="A3" s="62">
        <v>45866</v>
      </c>
      <c r="B3" s="63">
        <v>1200000000</v>
      </c>
      <c r="C3" s="61" t="s">
        <v>190</v>
      </c>
    </row>
    <row r="4" spans="1:8" x14ac:dyDescent="0.25">
      <c r="A4" s="62">
        <v>45889</v>
      </c>
      <c r="B4" s="63">
        <v>818000000</v>
      </c>
      <c r="C4" s="61" t="s">
        <v>190</v>
      </c>
    </row>
    <row r="5" spans="1:8" x14ac:dyDescent="0.25">
      <c r="A5" s="62">
        <v>45930</v>
      </c>
      <c r="B5" s="63">
        <v>278878000</v>
      </c>
      <c r="C5" s="61" t="s">
        <v>193</v>
      </c>
    </row>
    <row r="6" spans="1:8" s="67" customFormat="1" x14ac:dyDescent="0.25">
      <c r="A6" s="64">
        <v>45932</v>
      </c>
      <c r="B6" s="65">
        <v>1958821313</v>
      </c>
      <c r="C6" s="66" t="s">
        <v>194</v>
      </c>
      <c r="D6" s="66"/>
      <c r="E6" s="66">
        <v>199720000</v>
      </c>
      <c r="F6" s="66" t="s">
        <v>196</v>
      </c>
      <c r="G6" s="66"/>
      <c r="H6" s="66"/>
    </row>
    <row r="7" spans="1:8" x14ac:dyDescent="0.25">
      <c r="A7" s="62">
        <v>45937</v>
      </c>
      <c r="B7" s="63">
        <v>284420000</v>
      </c>
      <c r="C7" s="61" t="s">
        <v>189</v>
      </c>
      <c r="E7" s="61">
        <v>1958821313</v>
      </c>
      <c r="F7" s="61" t="s">
        <v>197</v>
      </c>
    </row>
    <row r="8" spans="1:8" ht="15.6" x14ac:dyDescent="0.3">
      <c r="A8" s="62">
        <v>45960</v>
      </c>
      <c r="B8" s="68">
        <v>397342000</v>
      </c>
      <c r="C8" s="61" t="s">
        <v>191</v>
      </c>
      <c r="E8" s="65">
        <v>270000000</v>
      </c>
      <c r="F8" s="66" t="s">
        <v>195</v>
      </c>
    </row>
    <row r="9" spans="1:8" x14ac:dyDescent="0.25">
      <c r="A9" s="62">
        <v>45964</v>
      </c>
      <c r="B9" s="61">
        <v>181870000</v>
      </c>
      <c r="C9" s="61" t="s">
        <v>189</v>
      </c>
      <c r="E9" s="66">
        <v>881500000</v>
      </c>
      <c r="F9" s="66" t="s">
        <v>192</v>
      </c>
    </row>
    <row r="10" spans="1:8" s="67" customFormat="1" x14ac:dyDescent="0.25">
      <c r="A10" s="64">
        <v>45985</v>
      </c>
      <c r="B10" s="65">
        <v>270000000</v>
      </c>
      <c r="C10" s="66" t="s">
        <v>195</v>
      </c>
      <c r="D10" s="66"/>
      <c r="E10" s="66"/>
      <c r="F10" s="66"/>
      <c r="G10" s="66"/>
      <c r="H10" s="66"/>
    </row>
    <row r="11" spans="1:8" x14ac:dyDescent="0.25">
      <c r="A11" s="62">
        <v>45988</v>
      </c>
      <c r="B11" s="63">
        <v>529816000</v>
      </c>
      <c r="C11" s="61" t="s">
        <v>190</v>
      </c>
    </row>
    <row r="12" spans="1:8" x14ac:dyDescent="0.25">
      <c r="A12" s="62">
        <v>45999</v>
      </c>
      <c r="B12" s="61">
        <v>563217500</v>
      </c>
      <c r="C12" s="61" t="s">
        <v>190</v>
      </c>
    </row>
    <row r="13" spans="1:8" x14ac:dyDescent="0.25">
      <c r="A13" s="62">
        <v>46003</v>
      </c>
      <c r="B13" s="61">
        <v>238355500</v>
      </c>
      <c r="C13" s="61" t="s">
        <v>191</v>
      </c>
    </row>
    <row r="14" spans="1:8" s="67" customFormat="1" x14ac:dyDescent="0.25">
      <c r="A14" s="64">
        <v>46014</v>
      </c>
      <c r="B14" s="66">
        <v>881500000</v>
      </c>
      <c r="C14" s="66" t="s">
        <v>192</v>
      </c>
      <c r="D14" s="66"/>
      <c r="E14" s="66"/>
      <c r="F14" s="66"/>
      <c r="G14" s="66"/>
      <c r="H14" s="66"/>
    </row>
    <row r="15" spans="1:8" x14ac:dyDescent="0.25">
      <c r="A15" s="62"/>
    </row>
    <row r="16" spans="1:8" x14ac:dyDescent="0.25">
      <c r="A16" s="62"/>
      <c r="B16" s="61">
        <f>SUM(B3:B15)</f>
        <v>7602220313</v>
      </c>
      <c r="C16" s="61">
        <f>SUM(C3:C15)</f>
        <v>0</v>
      </c>
      <c r="D16" s="61">
        <f>SUM(D3:D15)</f>
        <v>0</v>
      </c>
      <c r="E16" s="61">
        <f>SUM(E3:E15)</f>
        <v>3310041313</v>
      </c>
      <c r="F16" s="61">
        <f>B16-E16</f>
        <v>4292179000</v>
      </c>
    </row>
    <row r="17" spans="1:3" x14ac:dyDescent="0.25">
      <c r="A17" s="62"/>
    </row>
    <row r="18" spans="1:3" x14ac:dyDescent="0.25">
      <c r="A18" s="62"/>
    </row>
    <row r="19" spans="1:3" x14ac:dyDescent="0.25">
      <c r="A19" s="62"/>
    </row>
    <row r="20" spans="1:3" x14ac:dyDescent="0.25">
      <c r="A20" s="62"/>
    </row>
    <row r="21" spans="1:3" x14ac:dyDescent="0.25">
      <c r="A21" s="62"/>
    </row>
    <row r="22" spans="1:3" x14ac:dyDescent="0.25">
      <c r="A22" s="62">
        <v>45978</v>
      </c>
      <c r="B22" s="63">
        <v>171623000</v>
      </c>
      <c r="C22" s="61" t="s">
        <v>191</v>
      </c>
    </row>
    <row r="23" spans="1:3" x14ac:dyDescent="0.25">
      <c r="A23" s="62"/>
    </row>
    <row r="24" spans="1:3" x14ac:dyDescent="0.25">
      <c r="A24" s="62"/>
    </row>
    <row r="25" spans="1:3" x14ac:dyDescent="0.25">
      <c r="A25" s="6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42"/>
  <sheetViews>
    <sheetView topLeftCell="A7" workbookViewId="0">
      <selection activeCell="C15" sqref="C15"/>
    </sheetView>
  </sheetViews>
  <sheetFormatPr defaultColWidth="6" defaultRowHeight="13.8" x14ac:dyDescent="0.25"/>
  <cols>
    <col min="1" max="1" width="6" style="60"/>
    <col min="2" max="2" width="20.88671875" style="60" customWidth="1"/>
    <col min="3" max="4" width="16.21875" style="61" customWidth="1"/>
    <col min="5" max="5" width="29.44140625" style="61" customWidth="1"/>
    <col min="6" max="6" width="7.33203125" style="61" customWidth="1"/>
    <col min="7" max="7" width="17.44140625" style="61" customWidth="1"/>
    <col min="8" max="8" width="17.33203125" style="61" customWidth="1"/>
    <col min="9" max="12" width="16.21875" style="61" customWidth="1"/>
    <col min="13" max="16384" width="6" style="60"/>
  </cols>
  <sheetData>
    <row r="2" spans="1:9" x14ac:dyDescent="0.25">
      <c r="A2" s="60">
        <v>1</v>
      </c>
      <c r="B2" s="60" t="s">
        <v>259</v>
      </c>
      <c r="C2" s="61">
        <v>16315860000</v>
      </c>
      <c r="E2" s="66" t="s">
        <v>269</v>
      </c>
      <c r="F2" s="79" t="s">
        <v>175</v>
      </c>
      <c r="G2" s="66">
        <v>817781310</v>
      </c>
      <c r="H2" s="66">
        <v>457185016</v>
      </c>
      <c r="I2" s="66">
        <f>G2+H2</f>
        <v>1274966326</v>
      </c>
    </row>
    <row r="3" spans="1:9" x14ac:dyDescent="0.25">
      <c r="B3" s="60" t="s">
        <v>260</v>
      </c>
      <c r="C3" s="61">
        <v>9059671000</v>
      </c>
      <c r="E3" s="78" t="s">
        <v>256</v>
      </c>
      <c r="F3" s="81" t="s">
        <v>176</v>
      </c>
      <c r="G3" s="78">
        <v>301785370</v>
      </c>
      <c r="H3" s="78"/>
      <c r="I3" s="78">
        <f t="shared" ref="I3:I38" si="0">G3+H3</f>
        <v>301785370</v>
      </c>
    </row>
    <row r="4" spans="1:9" x14ac:dyDescent="0.25">
      <c r="B4" s="60" t="s">
        <v>261</v>
      </c>
      <c r="C4" s="61">
        <v>4845363000</v>
      </c>
      <c r="E4" s="61" t="s">
        <v>270</v>
      </c>
      <c r="F4" s="77">
        <v>161</v>
      </c>
      <c r="G4" s="61">
        <v>263087960</v>
      </c>
      <c r="H4" s="78">
        <v>3600000</v>
      </c>
      <c r="I4" s="61">
        <f t="shared" si="0"/>
        <v>266687960</v>
      </c>
    </row>
    <row r="5" spans="1:9" x14ac:dyDescent="0.25">
      <c r="B5" s="60" t="s">
        <v>265</v>
      </c>
      <c r="C5" s="61">
        <v>7287680000</v>
      </c>
      <c r="F5" s="77">
        <v>161</v>
      </c>
      <c r="G5" s="78">
        <v>100000000</v>
      </c>
      <c r="I5" s="61">
        <f t="shared" si="0"/>
        <v>100000000</v>
      </c>
    </row>
    <row r="6" spans="1:9" x14ac:dyDescent="0.25">
      <c r="B6" s="60" t="s">
        <v>262</v>
      </c>
      <c r="C6" s="61">
        <v>9419131000</v>
      </c>
      <c r="E6" s="66" t="s">
        <v>271</v>
      </c>
      <c r="F6" s="80">
        <v>221</v>
      </c>
      <c r="G6" s="66">
        <v>156448662</v>
      </c>
      <c r="H6" s="66"/>
      <c r="I6" s="66">
        <f t="shared" si="0"/>
        <v>156448662</v>
      </c>
    </row>
    <row r="7" spans="1:9" x14ac:dyDescent="0.25">
      <c r="B7" s="60" t="s">
        <v>263</v>
      </c>
      <c r="C7" s="61">
        <v>5468610000</v>
      </c>
      <c r="E7" s="61" t="s">
        <v>272</v>
      </c>
      <c r="F7" s="80">
        <v>261</v>
      </c>
      <c r="G7" s="66">
        <v>898385076</v>
      </c>
      <c r="H7" s="66">
        <v>469789391</v>
      </c>
      <c r="I7" s="66">
        <f t="shared" si="0"/>
        <v>1368174467</v>
      </c>
    </row>
    <row r="8" spans="1:9" x14ac:dyDescent="0.25">
      <c r="E8" s="66"/>
      <c r="F8" s="80">
        <v>262</v>
      </c>
      <c r="G8" s="66"/>
      <c r="H8" s="66">
        <v>20000000</v>
      </c>
      <c r="I8" s="66">
        <f t="shared" si="0"/>
        <v>20000000</v>
      </c>
    </row>
    <row r="9" spans="1:9" x14ac:dyDescent="0.25">
      <c r="B9" s="60" t="s">
        <v>264</v>
      </c>
      <c r="C9" s="61">
        <v>5159995000</v>
      </c>
      <c r="E9" s="66" t="s">
        <v>273</v>
      </c>
      <c r="F9" s="80">
        <v>281</v>
      </c>
      <c r="G9" s="66">
        <v>1136808750</v>
      </c>
      <c r="H9" s="66">
        <v>97000000</v>
      </c>
      <c r="I9" s="66">
        <f t="shared" si="0"/>
        <v>1233808750</v>
      </c>
    </row>
    <row r="10" spans="1:9" x14ac:dyDescent="0.25">
      <c r="B10" s="60" t="s">
        <v>266</v>
      </c>
      <c r="C10" s="61">
        <v>3070584000</v>
      </c>
      <c r="E10" s="66"/>
      <c r="F10" s="80"/>
      <c r="G10" s="66">
        <v>112500000</v>
      </c>
      <c r="H10" s="66">
        <v>311000000</v>
      </c>
      <c r="I10" s="66">
        <f t="shared" si="0"/>
        <v>423500000</v>
      </c>
    </row>
    <row r="11" spans="1:9" x14ac:dyDescent="0.25">
      <c r="B11" s="60" t="s">
        <v>267</v>
      </c>
      <c r="C11" s="61">
        <v>20082028000</v>
      </c>
      <c r="E11" s="66"/>
      <c r="F11" s="80"/>
      <c r="G11" s="66">
        <v>10000000</v>
      </c>
      <c r="H11" s="66">
        <v>49000000</v>
      </c>
      <c r="I11" s="66">
        <f t="shared" si="0"/>
        <v>59000000</v>
      </c>
    </row>
    <row r="12" spans="1:9" x14ac:dyDescent="0.25">
      <c r="B12" s="60" t="s">
        <v>268</v>
      </c>
      <c r="C12" s="61">
        <v>13859285000</v>
      </c>
      <c r="E12" s="66"/>
      <c r="F12" s="80"/>
      <c r="G12" s="66">
        <v>31199000</v>
      </c>
      <c r="H12" s="66">
        <v>73900000</v>
      </c>
      <c r="I12" s="66">
        <f t="shared" si="0"/>
        <v>105099000</v>
      </c>
    </row>
    <row r="13" spans="1:9" x14ac:dyDescent="0.25">
      <c r="E13" s="66"/>
      <c r="F13" s="79"/>
      <c r="G13" s="66">
        <v>36000000</v>
      </c>
      <c r="H13" s="66">
        <v>22000000</v>
      </c>
      <c r="I13" s="66">
        <f t="shared" si="0"/>
        <v>58000000</v>
      </c>
    </row>
    <row r="14" spans="1:9" x14ac:dyDescent="0.25">
      <c r="C14" s="61">
        <f>SUM(C2:C13)</f>
        <v>94568207000</v>
      </c>
      <c r="E14" s="66"/>
      <c r="F14" s="79"/>
      <c r="G14" s="66"/>
      <c r="H14" s="66">
        <v>3500000</v>
      </c>
      <c r="I14" s="66">
        <f t="shared" si="0"/>
        <v>3500000</v>
      </c>
    </row>
    <row r="15" spans="1:9" x14ac:dyDescent="0.25">
      <c r="E15" s="66"/>
      <c r="F15" s="79"/>
      <c r="G15" s="66"/>
      <c r="H15" s="66">
        <v>5430000</v>
      </c>
      <c r="I15" s="66">
        <f t="shared" si="0"/>
        <v>5430000</v>
      </c>
    </row>
    <row r="16" spans="1:9" x14ac:dyDescent="0.25">
      <c r="E16" s="66"/>
      <c r="F16" s="79"/>
      <c r="G16" s="66"/>
      <c r="H16" s="66">
        <v>9000000</v>
      </c>
      <c r="I16" s="66">
        <f t="shared" si="0"/>
        <v>9000000</v>
      </c>
    </row>
    <row r="17" spans="2:12" x14ac:dyDescent="0.25">
      <c r="E17" s="66"/>
      <c r="F17" s="79"/>
      <c r="G17" s="66"/>
      <c r="H17" s="66">
        <v>1500000</v>
      </c>
      <c r="I17" s="66">
        <f t="shared" si="0"/>
        <v>1500000</v>
      </c>
    </row>
    <row r="18" spans="2:12" x14ac:dyDescent="0.25">
      <c r="E18" s="66"/>
      <c r="F18" s="79"/>
      <c r="G18" s="66"/>
      <c r="H18" s="66">
        <v>2670000</v>
      </c>
      <c r="I18" s="66">
        <f t="shared" si="0"/>
        <v>2670000</v>
      </c>
    </row>
    <row r="19" spans="2:12" x14ac:dyDescent="0.25">
      <c r="E19" s="66" t="s">
        <v>274</v>
      </c>
      <c r="F19" s="79">
        <v>283</v>
      </c>
      <c r="G19" s="66">
        <v>1114489021</v>
      </c>
      <c r="H19" s="66"/>
      <c r="I19" s="66">
        <f t="shared" si="0"/>
        <v>1114489021</v>
      </c>
      <c r="J19" s="82"/>
    </row>
    <row r="20" spans="2:12" x14ac:dyDescent="0.25">
      <c r="E20" s="61" t="s">
        <v>275</v>
      </c>
      <c r="F20" s="76">
        <v>292</v>
      </c>
      <c r="G20" s="78">
        <v>1112954100</v>
      </c>
      <c r="I20" s="61">
        <f t="shared" si="0"/>
        <v>1112954100</v>
      </c>
    </row>
    <row r="21" spans="2:12" x14ac:dyDescent="0.25">
      <c r="E21" s="66" t="s">
        <v>276</v>
      </c>
      <c r="F21" s="79">
        <v>312</v>
      </c>
      <c r="G21" s="66">
        <v>3218487711</v>
      </c>
      <c r="H21" s="66">
        <v>2185661661</v>
      </c>
      <c r="I21" s="66">
        <f t="shared" si="0"/>
        <v>5404149372</v>
      </c>
    </row>
    <row r="22" spans="2:12" x14ac:dyDescent="0.25">
      <c r="F22" s="76">
        <v>341</v>
      </c>
      <c r="G22" s="78">
        <v>2411817343</v>
      </c>
      <c r="H22" s="78">
        <v>17452812597</v>
      </c>
      <c r="I22" s="61">
        <f t="shared" si="0"/>
        <v>19864629940</v>
      </c>
    </row>
    <row r="23" spans="2:12" x14ac:dyDescent="0.25">
      <c r="F23" s="76"/>
      <c r="G23" s="78">
        <v>10000000</v>
      </c>
      <c r="H23" s="78">
        <v>1611527580</v>
      </c>
      <c r="I23" s="61">
        <f t="shared" si="0"/>
        <v>1621527580</v>
      </c>
      <c r="L23" s="83"/>
    </row>
    <row r="24" spans="2:12" x14ac:dyDescent="0.25">
      <c r="F24" s="76"/>
      <c r="G24" s="78">
        <v>10000000</v>
      </c>
      <c r="H24" s="78">
        <v>436822841</v>
      </c>
      <c r="I24" s="61">
        <f t="shared" si="0"/>
        <v>446822841</v>
      </c>
    </row>
    <row r="25" spans="2:12" ht="14.4" x14ac:dyDescent="0.3">
      <c r="B25" s="60" t="s">
        <v>286</v>
      </c>
      <c r="C25" s="89">
        <v>3305000000</v>
      </c>
      <c r="F25" s="76"/>
      <c r="G25" s="78">
        <v>70000000</v>
      </c>
      <c r="H25" s="78">
        <v>16282478326</v>
      </c>
      <c r="I25" s="61">
        <f t="shared" si="0"/>
        <v>16352478326</v>
      </c>
    </row>
    <row r="26" spans="2:12" ht="14.4" x14ac:dyDescent="0.3">
      <c r="B26" s="60" t="s">
        <v>287</v>
      </c>
      <c r="C26" s="89">
        <v>36718216820</v>
      </c>
      <c r="F26" s="76">
        <v>351</v>
      </c>
      <c r="G26" s="78">
        <v>77249400</v>
      </c>
      <c r="H26" s="78">
        <v>4032092060</v>
      </c>
      <c r="I26" s="61">
        <f t="shared" si="0"/>
        <v>4109341460</v>
      </c>
    </row>
    <row r="27" spans="2:12" x14ac:dyDescent="0.25">
      <c r="F27" s="76"/>
      <c r="H27" s="78">
        <v>35708000</v>
      </c>
      <c r="I27" s="61">
        <f t="shared" si="0"/>
        <v>35708000</v>
      </c>
    </row>
    <row r="28" spans="2:12" x14ac:dyDescent="0.25">
      <c r="C28" s="90">
        <f>SUM(C25:C27)</f>
        <v>40023216820</v>
      </c>
      <c r="F28" s="76">
        <v>361</v>
      </c>
      <c r="G28" s="78">
        <v>27200000</v>
      </c>
      <c r="H28" s="78">
        <v>3120553200</v>
      </c>
      <c r="I28" s="61">
        <f t="shared" si="0"/>
        <v>3147753200</v>
      </c>
    </row>
    <row r="29" spans="2:12" x14ac:dyDescent="0.25">
      <c r="F29" s="76"/>
      <c r="H29" s="78">
        <v>2713371000</v>
      </c>
      <c r="I29" s="61">
        <f t="shared" si="0"/>
        <v>2713371000</v>
      </c>
    </row>
    <row r="30" spans="2:12" x14ac:dyDescent="0.25">
      <c r="F30" s="76">
        <v>362</v>
      </c>
      <c r="G30" s="78">
        <v>17000000</v>
      </c>
      <c r="H30" s="78">
        <v>625931870</v>
      </c>
      <c r="I30" s="61">
        <f t="shared" si="0"/>
        <v>642931870</v>
      </c>
      <c r="J30" s="61">
        <f>I30+I31</f>
        <v>1437946870</v>
      </c>
    </row>
    <row r="31" spans="2:12" x14ac:dyDescent="0.25">
      <c r="F31" s="76"/>
      <c r="H31" s="78">
        <v>795015000</v>
      </c>
      <c r="I31" s="61">
        <f t="shared" si="0"/>
        <v>795015000</v>
      </c>
    </row>
    <row r="32" spans="2:12" x14ac:dyDescent="0.25">
      <c r="F32" s="76">
        <v>371</v>
      </c>
      <c r="G32" s="78">
        <v>1289199134</v>
      </c>
      <c r="H32" s="78">
        <v>46800000</v>
      </c>
      <c r="I32" s="61">
        <f t="shared" si="0"/>
        <v>1335999134</v>
      </c>
    </row>
    <row r="33" spans="5:10" x14ac:dyDescent="0.25">
      <c r="F33" s="76"/>
      <c r="H33" s="78">
        <v>317600000</v>
      </c>
      <c r="I33" s="78">
        <f t="shared" si="0"/>
        <v>317600000</v>
      </c>
    </row>
    <row r="34" spans="5:10" x14ac:dyDescent="0.25">
      <c r="E34" s="66" t="s">
        <v>277</v>
      </c>
      <c r="F34" s="79">
        <v>374</v>
      </c>
      <c r="G34" s="66">
        <v>808624100</v>
      </c>
      <c r="H34" s="66"/>
      <c r="I34" s="66">
        <f t="shared" si="0"/>
        <v>808624100</v>
      </c>
    </row>
    <row r="35" spans="5:10" x14ac:dyDescent="0.25">
      <c r="E35" s="61" t="s">
        <v>279</v>
      </c>
      <c r="F35" s="76">
        <v>398</v>
      </c>
      <c r="G35" s="78">
        <v>5696110000</v>
      </c>
      <c r="H35" s="78">
        <v>1866844080</v>
      </c>
      <c r="I35" s="61">
        <f t="shared" si="0"/>
        <v>7562954080</v>
      </c>
      <c r="J35" s="61">
        <f>I35+I36+I37</f>
        <v>11170854080</v>
      </c>
    </row>
    <row r="36" spans="5:10" x14ac:dyDescent="0.25">
      <c r="F36" s="76"/>
      <c r="H36" s="78">
        <v>3075900000</v>
      </c>
      <c r="I36" s="78">
        <f t="shared" si="0"/>
        <v>3075900000</v>
      </c>
    </row>
    <row r="37" spans="5:10" x14ac:dyDescent="0.25">
      <c r="F37" s="76"/>
      <c r="H37" s="78">
        <v>532000000</v>
      </c>
      <c r="I37" s="78">
        <f t="shared" si="0"/>
        <v>532000000</v>
      </c>
    </row>
    <row r="38" spans="5:10" x14ac:dyDescent="0.25">
      <c r="E38" s="61" t="s">
        <v>278</v>
      </c>
      <c r="F38" s="79">
        <v>133</v>
      </c>
      <c r="G38" s="66"/>
      <c r="H38" s="66">
        <v>995611602</v>
      </c>
      <c r="I38" s="66">
        <f t="shared" si="0"/>
        <v>995611602</v>
      </c>
    </row>
    <row r="39" spans="5:10" x14ac:dyDescent="0.25">
      <c r="F39" s="76"/>
    </row>
    <row r="40" spans="5:10" x14ac:dyDescent="0.25">
      <c r="F40" s="76"/>
      <c r="I40" s="61">
        <f>SUM(I2:I39)</f>
        <v>77379431161</v>
      </c>
    </row>
    <row r="41" spans="5:10" x14ac:dyDescent="0.25">
      <c r="F41" s="76"/>
    </row>
    <row r="42" spans="5:10" x14ac:dyDescent="0.25">
      <c r="F42" s="7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THỰC HIỆN THU 2025</vt:lpstr>
      <vt:lpstr>THỰC HIỆN CHI 2025</vt:lpstr>
      <vt:lpstr>Cân đối</vt:lpstr>
      <vt:lpstr>Nguồn mục tiêu</vt:lpstr>
      <vt:lpstr>Công trình</vt:lpstr>
      <vt:lpstr>Nguồn mục tiêu chi chuyển nguôn</vt:lpstr>
      <vt:lpstr>Sheet1</vt:lpstr>
      <vt:lpstr>Đảng</vt:lpstr>
      <vt:lpstr>Trường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soh240901300@outlook.com</dc:creator>
  <cp:lastModifiedBy>soh240901300@outlook.com</cp:lastModifiedBy>
  <cp:lastPrinted>2026-03-17T03:03:49Z</cp:lastPrinted>
  <dcterms:created xsi:type="dcterms:W3CDTF">2025-12-22T08:29:16Z</dcterms:created>
  <dcterms:modified xsi:type="dcterms:W3CDTF">2026-03-25T10:11:33Z</dcterms:modified>
</cp:coreProperties>
</file>